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I:\CFFP\Fiscal Standards and Accountability\FON\Compliance FON Calculations\Fall 2026\P1 (prepared February 2026)\"/>
    </mc:Choice>
  </mc:AlternateContent>
  <xr:revisionPtr revIDLastSave="0" documentId="13_ncr:1_{D3E07255-901D-4702-8D21-687768D66CE0}" xr6:coauthVersionLast="47" xr6:coauthVersionMax="47" xr10:uidLastSave="{00000000-0000-0000-0000-000000000000}"/>
  <bookViews>
    <workbookView xWindow="-120" yWindow="-120" windowWidth="29040" windowHeight="15720" xr2:uid="{71BEA042-7430-4D93-931F-65094188AE78}"/>
  </bookViews>
  <sheets>
    <sheet name="Table of Contents" sheetId="12" r:id="rId1"/>
    <sheet name="Definitions" sheetId="15" r:id="rId2"/>
    <sheet name="Fall 2026 P1 FON Calculation" sheetId="14" r:id="rId3"/>
    <sheet name="Fall 2026 Estimated P1 FON" sheetId="13" r:id="rId4"/>
    <sheet name="FON Estimator" sheetId="16" r:id="rId5"/>
  </sheets>
  <definedNames>
    <definedName name="_Dist_Bin" localSheetId="1" hidden="1">#REF!</definedName>
    <definedName name="_Dist_Bin" localSheetId="3" hidden="1">#REF!</definedName>
    <definedName name="_Dist_Bin" localSheetId="2" hidden="1">#REF!</definedName>
    <definedName name="_Dist_Bin" localSheetId="4" hidden="1">#REF!</definedName>
    <definedName name="_Dist_Bin" hidden="1">#REF!</definedName>
    <definedName name="_Dist_Values" localSheetId="1" hidden="1">#REF!</definedName>
    <definedName name="_Dist_Values" hidden="1">#REF!</definedName>
    <definedName name="_Fill" localSheetId="1" hidden="1">#REF!</definedName>
    <definedName name="_Fill" hidden="1">#REF!</definedName>
    <definedName name="_xlnm._FilterDatabase" localSheetId="3" hidden="1">'Fall 2026 Estimated P1 FON'!$B$4:$G$4</definedName>
    <definedName name="_Sort" localSheetId="1" hidden="1">#REF!</definedName>
    <definedName name="_Sort" localSheetId="3" hidden="1">#REF!</definedName>
    <definedName name="_Sort" localSheetId="2" hidden="1">#REF!</definedName>
    <definedName name="_Sort" localSheetId="4" hidden="1">#REF!</definedName>
    <definedName name="_Sort" hidden="1">#REF!</definedName>
    <definedName name="_xlnm.Print_Area" localSheetId="3">'Fall 2026 Estimated P1 FON'!$A$1:$G$77</definedName>
    <definedName name="_xlnm.Print_Area" localSheetId="2">'Fall 2026 P1 FON Calculation'!$A$1:$K$79</definedName>
    <definedName name="_xlnm.Print_Area" localSheetId="4">'FON Estimator'!$A$1:$D$25</definedName>
    <definedName name="_xlnm.Print_Titles" localSheetId="3">'Fall 2026 Estimated P1 FON'!$1:$4</definedName>
    <definedName name="_xlnm.Print_Titles" localSheetId="2">'Fall 2026 P1 FON Calculation'!$1:$6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4" l="1"/>
  <c r="G5" i="13"/>
  <c r="D77" i="13" l="1"/>
  <c r="D22" i="16" l="1"/>
  <c r="D13" i="16"/>
  <c r="E77" i="13" l="1"/>
  <c r="F77" i="13"/>
  <c r="C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D14" i="16" l="1"/>
  <c r="D16" i="16" l="1"/>
  <c r="D15" i="16"/>
  <c r="D17" i="16" l="1"/>
  <c r="D18" i="16" s="1"/>
  <c r="D19" i="16" s="1"/>
  <c r="D20" i="16" s="1"/>
  <c r="D21" i="16" s="1"/>
  <c r="D23" i="16" s="1"/>
  <c r="G77" i="13" l="1"/>
  <c r="E79" i="14" l="1"/>
  <c r="D79" i="14"/>
  <c r="C79" i="14"/>
  <c r="G78" i="14"/>
  <c r="H78" i="14" s="1"/>
  <c r="I78" i="14" s="1"/>
  <c r="J78" i="14" s="1"/>
  <c r="K78" i="14" s="1"/>
  <c r="G77" i="14"/>
  <c r="H77" i="14" s="1"/>
  <c r="I77" i="14" s="1"/>
  <c r="J77" i="14" s="1"/>
  <c r="K77" i="14" s="1"/>
  <c r="G76" i="14"/>
  <c r="H76" i="14" s="1"/>
  <c r="I76" i="14" s="1"/>
  <c r="J76" i="14" s="1"/>
  <c r="K76" i="14" s="1"/>
  <c r="G75" i="14"/>
  <c r="H75" i="14" s="1"/>
  <c r="I75" i="14" s="1"/>
  <c r="J75" i="14" s="1"/>
  <c r="K75" i="14" s="1"/>
  <c r="G74" i="14"/>
  <c r="H74" i="14" s="1"/>
  <c r="I74" i="14" s="1"/>
  <c r="J74" i="14" s="1"/>
  <c r="K74" i="14" s="1"/>
  <c r="G73" i="14"/>
  <c r="H73" i="14" s="1"/>
  <c r="I73" i="14" s="1"/>
  <c r="J73" i="14" s="1"/>
  <c r="K73" i="14" s="1"/>
  <c r="G72" i="14"/>
  <c r="H72" i="14" s="1"/>
  <c r="I72" i="14" s="1"/>
  <c r="J72" i="14" s="1"/>
  <c r="K72" i="14" s="1"/>
  <c r="G71" i="14"/>
  <c r="H71" i="14" s="1"/>
  <c r="I71" i="14" s="1"/>
  <c r="J71" i="14" s="1"/>
  <c r="K71" i="14" s="1"/>
  <c r="G70" i="14"/>
  <c r="H70" i="14" s="1"/>
  <c r="I70" i="14" s="1"/>
  <c r="J70" i="14" s="1"/>
  <c r="K70" i="14" s="1"/>
  <c r="G69" i="14"/>
  <c r="H69" i="14" s="1"/>
  <c r="I69" i="14" s="1"/>
  <c r="J69" i="14" s="1"/>
  <c r="K69" i="14" s="1"/>
  <c r="G68" i="14"/>
  <c r="H68" i="14" s="1"/>
  <c r="I68" i="14" s="1"/>
  <c r="J68" i="14" s="1"/>
  <c r="K68" i="14" s="1"/>
  <c r="G67" i="14"/>
  <c r="H67" i="14" s="1"/>
  <c r="I67" i="14" s="1"/>
  <c r="J67" i="14" s="1"/>
  <c r="K67" i="14" s="1"/>
  <c r="G66" i="14"/>
  <c r="H66" i="14" s="1"/>
  <c r="I66" i="14" s="1"/>
  <c r="J66" i="14" s="1"/>
  <c r="K66" i="14" s="1"/>
  <c r="G65" i="14"/>
  <c r="H65" i="14" s="1"/>
  <c r="I65" i="14" s="1"/>
  <c r="J65" i="14" s="1"/>
  <c r="K65" i="14" s="1"/>
  <c r="G64" i="14"/>
  <c r="H64" i="14" s="1"/>
  <c r="I64" i="14" s="1"/>
  <c r="J64" i="14" s="1"/>
  <c r="K64" i="14" s="1"/>
  <c r="G63" i="14"/>
  <c r="H63" i="14" s="1"/>
  <c r="I63" i="14" s="1"/>
  <c r="J63" i="14" s="1"/>
  <c r="K63" i="14" s="1"/>
  <c r="G62" i="14"/>
  <c r="H62" i="14" s="1"/>
  <c r="I62" i="14" s="1"/>
  <c r="J62" i="14" s="1"/>
  <c r="K62" i="14" s="1"/>
  <c r="G61" i="14"/>
  <c r="H61" i="14" s="1"/>
  <c r="I61" i="14" s="1"/>
  <c r="J61" i="14" s="1"/>
  <c r="K61" i="14" s="1"/>
  <c r="G60" i="14"/>
  <c r="H60" i="14" s="1"/>
  <c r="I60" i="14" s="1"/>
  <c r="J60" i="14" s="1"/>
  <c r="K60" i="14" s="1"/>
  <c r="G59" i="14"/>
  <c r="H59" i="14" s="1"/>
  <c r="I59" i="14" s="1"/>
  <c r="J59" i="14" s="1"/>
  <c r="K59" i="14" s="1"/>
  <c r="G58" i="14"/>
  <c r="H58" i="14" s="1"/>
  <c r="I58" i="14" s="1"/>
  <c r="J58" i="14" s="1"/>
  <c r="K58" i="14" s="1"/>
  <c r="G57" i="14"/>
  <c r="H57" i="14" s="1"/>
  <c r="I57" i="14" s="1"/>
  <c r="J57" i="14" s="1"/>
  <c r="K57" i="14" s="1"/>
  <c r="G56" i="14"/>
  <c r="H56" i="14" s="1"/>
  <c r="I56" i="14" s="1"/>
  <c r="J56" i="14" s="1"/>
  <c r="K56" i="14" s="1"/>
  <c r="G55" i="14"/>
  <c r="H55" i="14" s="1"/>
  <c r="I55" i="14" s="1"/>
  <c r="J55" i="14" s="1"/>
  <c r="K55" i="14" s="1"/>
  <c r="G54" i="14"/>
  <c r="H54" i="14" s="1"/>
  <c r="I54" i="14" s="1"/>
  <c r="J54" i="14" s="1"/>
  <c r="K54" i="14" s="1"/>
  <c r="G53" i="14"/>
  <c r="H53" i="14" s="1"/>
  <c r="I53" i="14" s="1"/>
  <c r="J53" i="14" s="1"/>
  <c r="K53" i="14" s="1"/>
  <c r="G52" i="14"/>
  <c r="H52" i="14" s="1"/>
  <c r="I52" i="14" s="1"/>
  <c r="J52" i="14" s="1"/>
  <c r="K52" i="14" s="1"/>
  <c r="G51" i="14"/>
  <c r="H51" i="14" s="1"/>
  <c r="I51" i="14" s="1"/>
  <c r="J51" i="14" s="1"/>
  <c r="K51" i="14" s="1"/>
  <c r="G50" i="14"/>
  <c r="H50" i="14" s="1"/>
  <c r="I50" i="14" s="1"/>
  <c r="J50" i="14" s="1"/>
  <c r="K50" i="14" s="1"/>
  <c r="G49" i="14"/>
  <c r="H49" i="14" s="1"/>
  <c r="I49" i="14" s="1"/>
  <c r="J49" i="14" s="1"/>
  <c r="K49" i="14" s="1"/>
  <c r="G48" i="14"/>
  <c r="H48" i="14" s="1"/>
  <c r="I48" i="14" s="1"/>
  <c r="J48" i="14" s="1"/>
  <c r="K48" i="14" s="1"/>
  <c r="G47" i="14"/>
  <c r="H47" i="14" s="1"/>
  <c r="I47" i="14" s="1"/>
  <c r="J47" i="14" s="1"/>
  <c r="K47" i="14" s="1"/>
  <c r="G46" i="14"/>
  <c r="H46" i="14" s="1"/>
  <c r="I46" i="14" s="1"/>
  <c r="J46" i="14" s="1"/>
  <c r="K46" i="14" s="1"/>
  <c r="G45" i="14"/>
  <c r="H45" i="14" s="1"/>
  <c r="I45" i="14" s="1"/>
  <c r="J45" i="14" s="1"/>
  <c r="K45" i="14" s="1"/>
  <c r="G44" i="14"/>
  <c r="H44" i="14" s="1"/>
  <c r="I44" i="14" s="1"/>
  <c r="J44" i="14" s="1"/>
  <c r="K44" i="14" s="1"/>
  <c r="G43" i="14"/>
  <c r="H43" i="14" s="1"/>
  <c r="I43" i="14" s="1"/>
  <c r="J43" i="14" s="1"/>
  <c r="K43" i="14" s="1"/>
  <c r="G42" i="14"/>
  <c r="H42" i="14" s="1"/>
  <c r="I42" i="14" s="1"/>
  <c r="J42" i="14" s="1"/>
  <c r="K42" i="14" s="1"/>
  <c r="G41" i="14"/>
  <c r="H41" i="14" s="1"/>
  <c r="I41" i="14" s="1"/>
  <c r="J41" i="14" s="1"/>
  <c r="K41" i="14" s="1"/>
  <c r="G40" i="14"/>
  <c r="H40" i="14" s="1"/>
  <c r="I40" i="14" s="1"/>
  <c r="J40" i="14" s="1"/>
  <c r="K40" i="14" s="1"/>
  <c r="G39" i="14"/>
  <c r="H39" i="14" s="1"/>
  <c r="I39" i="14" s="1"/>
  <c r="J39" i="14" s="1"/>
  <c r="K39" i="14" s="1"/>
  <c r="G38" i="14"/>
  <c r="H38" i="14" s="1"/>
  <c r="I38" i="14" s="1"/>
  <c r="J38" i="14" s="1"/>
  <c r="K38" i="14" s="1"/>
  <c r="G37" i="14"/>
  <c r="H37" i="14" s="1"/>
  <c r="I37" i="14" s="1"/>
  <c r="J37" i="14" s="1"/>
  <c r="K37" i="14" s="1"/>
  <c r="G36" i="14"/>
  <c r="H36" i="14" s="1"/>
  <c r="I36" i="14" s="1"/>
  <c r="J36" i="14" s="1"/>
  <c r="K36" i="14" s="1"/>
  <c r="G35" i="14"/>
  <c r="H35" i="14" s="1"/>
  <c r="I35" i="14" s="1"/>
  <c r="J35" i="14" s="1"/>
  <c r="K35" i="14" s="1"/>
  <c r="G34" i="14"/>
  <c r="H34" i="14" s="1"/>
  <c r="I34" i="14" s="1"/>
  <c r="J34" i="14" s="1"/>
  <c r="K34" i="14" s="1"/>
  <c r="G33" i="14"/>
  <c r="H33" i="14" s="1"/>
  <c r="I33" i="14" s="1"/>
  <c r="J33" i="14" s="1"/>
  <c r="K33" i="14" s="1"/>
  <c r="G32" i="14"/>
  <c r="H32" i="14" s="1"/>
  <c r="I32" i="14" s="1"/>
  <c r="J32" i="14" s="1"/>
  <c r="K32" i="14" s="1"/>
  <c r="G31" i="14"/>
  <c r="H31" i="14" s="1"/>
  <c r="I31" i="14" s="1"/>
  <c r="J31" i="14" s="1"/>
  <c r="K31" i="14" s="1"/>
  <c r="G30" i="14"/>
  <c r="H30" i="14" s="1"/>
  <c r="I30" i="14" s="1"/>
  <c r="J30" i="14" s="1"/>
  <c r="K30" i="14" s="1"/>
  <c r="G29" i="14"/>
  <c r="H29" i="14" s="1"/>
  <c r="I29" i="14" s="1"/>
  <c r="J29" i="14" s="1"/>
  <c r="K29" i="14" s="1"/>
  <c r="G28" i="14"/>
  <c r="H28" i="14" s="1"/>
  <c r="I28" i="14" s="1"/>
  <c r="J28" i="14" s="1"/>
  <c r="K28" i="14" s="1"/>
  <c r="G27" i="14"/>
  <c r="H27" i="14" s="1"/>
  <c r="I27" i="14" s="1"/>
  <c r="J27" i="14" s="1"/>
  <c r="K27" i="14" s="1"/>
  <c r="G26" i="14"/>
  <c r="H26" i="14" s="1"/>
  <c r="I26" i="14" s="1"/>
  <c r="J26" i="14" s="1"/>
  <c r="K26" i="14" s="1"/>
  <c r="G25" i="14"/>
  <c r="H25" i="14" s="1"/>
  <c r="I25" i="14" s="1"/>
  <c r="J25" i="14" s="1"/>
  <c r="K25" i="14" s="1"/>
  <c r="G24" i="14"/>
  <c r="H24" i="14" s="1"/>
  <c r="I24" i="14" s="1"/>
  <c r="J24" i="14" s="1"/>
  <c r="K24" i="14" s="1"/>
  <c r="G23" i="14"/>
  <c r="H23" i="14" s="1"/>
  <c r="I23" i="14" s="1"/>
  <c r="J23" i="14" s="1"/>
  <c r="K23" i="14" s="1"/>
  <c r="G22" i="14"/>
  <c r="H22" i="14" s="1"/>
  <c r="I22" i="14" s="1"/>
  <c r="J22" i="14" s="1"/>
  <c r="K22" i="14" s="1"/>
  <c r="G21" i="14"/>
  <c r="H21" i="14" s="1"/>
  <c r="I21" i="14" s="1"/>
  <c r="J21" i="14" s="1"/>
  <c r="K21" i="14" s="1"/>
  <c r="G20" i="14"/>
  <c r="H20" i="14" s="1"/>
  <c r="I20" i="14" s="1"/>
  <c r="J20" i="14" s="1"/>
  <c r="K20" i="14" s="1"/>
  <c r="G19" i="14"/>
  <c r="H19" i="14" s="1"/>
  <c r="I19" i="14" s="1"/>
  <c r="J19" i="14" s="1"/>
  <c r="K19" i="14" s="1"/>
  <c r="G18" i="14"/>
  <c r="H18" i="14" s="1"/>
  <c r="I18" i="14" s="1"/>
  <c r="J18" i="14" s="1"/>
  <c r="K18" i="14" s="1"/>
  <c r="G17" i="14"/>
  <c r="H17" i="14" s="1"/>
  <c r="I17" i="14" s="1"/>
  <c r="J17" i="14" s="1"/>
  <c r="K17" i="14" s="1"/>
  <c r="G16" i="14"/>
  <c r="H16" i="14" s="1"/>
  <c r="I16" i="14" s="1"/>
  <c r="J16" i="14" s="1"/>
  <c r="K16" i="14" s="1"/>
  <c r="G15" i="14"/>
  <c r="H15" i="14" s="1"/>
  <c r="I15" i="14" s="1"/>
  <c r="J15" i="14" s="1"/>
  <c r="K15" i="14" s="1"/>
  <c r="G14" i="14"/>
  <c r="H14" i="14" s="1"/>
  <c r="I14" i="14" s="1"/>
  <c r="J14" i="14" s="1"/>
  <c r="K14" i="14" s="1"/>
  <c r="G13" i="14"/>
  <c r="H13" i="14" s="1"/>
  <c r="I13" i="14" s="1"/>
  <c r="J13" i="14" s="1"/>
  <c r="K13" i="14" s="1"/>
  <c r="G12" i="14"/>
  <c r="H12" i="14" s="1"/>
  <c r="I12" i="14" s="1"/>
  <c r="J12" i="14" s="1"/>
  <c r="K12" i="14" s="1"/>
  <c r="G11" i="14"/>
  <c r="H11" i="14" s="1"/>
  <c r="I11" i="14" s="1"/>
  <c r="J11" i="14" s="1"/>
  <c r="K11" i="14" s="1"/>
  <c r="G10" i="14"/>
  <c r="H10" i="14" s="1"/>
  <c r="I10" i="14" s="1"/>
  <c r="J10" i="14" s="1"/>
  <c r="K10" i="14" s="1"/>
  <c r="G9" i="14"/>
  <c r="H9" i="14" s="1"/>
  <c r="I9" i="14" s="1"/>
  <c r="J9" i="14" s="1"/>
  <c r="K9" i="14" s="1"/>
  <c r="G8" i="14"/>
  <c r="H8" i="14" s="1"/>
  <c r="I8" i="14" s="1"/>
  <c r="J8" i="14" s="1"/>
  <c r="K8" i="14" s="1"/>
  <c r="G7" i="14"/>
  <c r="H79" i="14" l="1"/>
  <c r="I79" i="14" s="1"/>
  <c r="G79" i="14"/>
  <c r="I7" i="14"/>
  <c r="J7" i="14" s="1"/>
  <c r="K7" i="14" s="1"/>
  <c r="J79" i="14" l="1"/>
  <c r="K79" i="14"/>
</calcChain>
</file>

<file path=xl/sharedStrings.xml><?xml version="1.0" encoding="utf-8"?>
<sst xmlns="http://schemas.openxmlformats.org/spreadsheetml/2006/main" count="272" uniqueCount="171">
  <si>
    <t>Allan Hancock</t>
  </si>
  <si>
    <t>Antelope Valley</t>
  </si>
  <si>
    <t>Barstow</t>
  </si>
  <si>
    <t>Butte</t>
  </si>
  <si>
    <t>Cabrillo</t>
  </si>
  <si>
    <t>Cerritos</t>
  </si>
  <si>
    <t>Chabot-Las Positas</t>
  </si>
  <si>
    <t>Chaffey</t>
  </si>
  <si>
    <t>Citrus</t>
  </si>
  <si>
    <t>Coast</t>
  </si>
  <si>
    <t>Compton</t>
  </si>
  <si>
    <t>Contra Costa</t>
  </si>
  <si>
    <t>Copper Mt.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</si>
  <si>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</si>
  <si>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</si>
  <si>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</si>
  <si>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</si>
  <si>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</si>
  <si>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</si>
  <si>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</si>
  <si>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</si>
  <si>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</si>
  <si>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</si>
  <si>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</si>
  <si>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</si>
  <si>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</si>
  <si>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</si>
  <si>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</si>
  <si>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</si>
  <si>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</si>
  <si>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</si>
  <si>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 Costa</t>
  </si>
  <si>
    <t>Monterey Peninsula</t>
  </si>
  <si>
    <t>Mt. San Antonio</t>
  </si>
  <si>
    <t>Mt. San Jacinto</t>
  </si>
  <si>
    <t>Napa Valley</t>
  </si>
  <si>
    <t>North Orange County</t>
  </si>
  <si>
    <t>Ohlone</t>
  </si>
  <si>
    <t>Palo Verde</t>
  </si>
  <si>
    <t>Palomar</t>
  </si>
  <si>
    <t>Pasadena Area</t>
  </si>
  <si>
    <t>Peralta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</si>
  <si>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</si>
  <si>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</si>
  <si>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</si>
  <si>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</si>
  <si>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</si>
  <si>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</si>
  <si>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</si>
  <si>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</si>
  <si>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Jose-Evergreen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</si>
  <si>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</si>
  <si>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</si>
  <si>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</si>
  <si>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</si>
  <si>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</si>
  <si>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</si>
  <si>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</si>
  <si>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</t>
  </si>
  <si>
    <t>Siskiyou</t>
  </si>
  <si>
    <t>Solano</t>
  </si>
  <si>
    <t>Sonoma County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</si>
  <si>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</si>
  <si>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</si>
  <si>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</si>
  <si>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</si>
  <si>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</si>
  <si>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</si>
  <si>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</si>
  <si>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West Valley-Mission</t>
  </si>
  <si>
    <t>Yosemite</t>
  </si>
  <si>
    <t>Yuba</t>
  </si>
  <si>
    <t>District</t>
  </si>
  <si>
    <t>Source</t>
  </si>
  <si>
    <t>Definition</t>
  </si>
  <si>
    <t>FTES Adjustment</t>
  </si>
  <si>
    <t>Definitions</t>
  </si>
  <si>
    <t xml:space="preserve">Base FON </t>
  </si>
  <si>
    <t>Change in FTES Growth/(Decline)</t>
  </si>
  <si>
    <t>Percent Change (Change in FTES/Base Credit FTES)</t>
  </si>
  <si>
    <t>Base Credit FTES</t>
  </si>
  <si>
    <t>Deficit Factor</t>
  </si>
  <si>
    <t>Funded Credit FTEs adjusted for Deficit Factor</t>
  </si>
  <si>
    <t>Current Year funded credit FTES as of most recent apportionment cycle.  Updated at each apportionment cycle and finalized at apportionment recalculation.</t>
  </si>
  <si>
    <t xml:space="preserve">Applies if state funding is insufficient to fully fund Total Computational Revenue.  </t>
  </si>
  <si>
    <t>vlookup</t>
  </si>
  <si>
    <t>Prior year FON as calculated per actual funded credit FTES.  Updated at each apportionment cycle and finalized at apportionment recalculation.</t>
  </si>
  <si>
    <t>Table of Contents</t>
  </si>
  <si>
    <t>Descriptions</t>
  </si>
  <si>
    <t>Statewide Total</t>
  </si>
  <si>
    <t>California Community Colleges</t>
  </si>
  <si>
    <t>Full-Time Faculty Obligation Number (FON) Workbook</t>
  </si>
  <si>
    <t>Sources</t>
  </si>
  <si>
    <t>Calculated</t>
  </si>
  <si>
    <t>Funded Credit FTES adjusted by Deficit Percentage
(e = c*(1-d))</t>
  </si>
  <si>
    <t>Change in FTES 
Growth (Decline)
(f = e-b)</t>
  </si>
  <si>
    <t>Percent Change 
Change in FTES/Base Credit FTES
(g = f/b)</t>
  </si>
  <si>
    <t>Adjustment to reflect that statewide Total Computational Revenue is estimated as not fully funded. For apportionments, the deficit factor is applied to the dollar amount of funding (FTES x funding rate).  For the purposes of calculating the FON, we apply the deficit factor directly to the number of FTES.  (Funded Credit FTES x  Deficit Factor)</t>
  </si>
  <si>
    <t>This column reflects the difference between the prior and current year estimated FTES.
Change in FTES from Prior Year 
(Adjusted Funded Credit FTES - Base Credit FTES)</t>
  </si>
  <si>
    <t>The FTES adjustment is the Increase or decrease to FON due to change in FTES  
(Percent Change * Base FON) rounded down to nearest whole number.</t>
  </si>
  <si>
    <t>Column Link</t>
  </si>
  <si>
    <t>For any assistance with the FON workbook, please contact: Jubilee Smallwood at jsmallwood@cccco.edu</t>
  </si>
  <si>
    <t xml:space="preserve">Sorted by district, provides compliance, reported and current advance FON. </t>
  </si>
  <si>
    <t xml:space="preserve">Prior year actual funded credit FTES as of most recent apportionment report. Updated at each apportionment cycle and finalized at apportionment recalculation. </t>
  </si>
  <si>
    <t>Workbook Tabs</t>
  </si>
  <si>
    <t>FON Estimator</t>
  </si>
  <si>
    <t>ß</t>
  </si>
  <si>
    <t>Select district from dropdown menu</t>
  </si>
  <si>
    <t>Estimates</t>
  </si>
  <si>
    <t xml:space="preserve"> Input your estimate of total of  3 year average Credit + Special Admit Credit + Incarcerated Credit</t>
  </si>
  <si>
    <t>Input your estimated deficit factor</t>
  </si>
  <si>
    <t>(a)</t>
  </si>
  <si>
    <t>Base FON</t>
  </si>
  <si>
    <t>=</t>
  </si>
  <si>
    <t>(b)</t>
  </si>
  <si>
    <t xml:space="preserve">Base credit FTES </t>
  </si>
  <si>
    <t>(c)</t>
  </si>
  <si>
    <t>Funded credit FTES</t>
  </si>
  <si>
    <t>Automatically populates from your estimate in Cell D7 above</t>
  </si>
  <si>
    <t>(d)</t>
  </si>
  <si>
    <t>(1-deficit factor)</t>
  </si>
  <si>
    <t>Automatically populates from your estimate in Cell D8 above</t>
  </si>
  <si>
    <t>(e = c*d)</t>
  </si>
  <si>
    <t>Funded credit FTES adjusted for deficit factor</t>
  </si>
  <si>
    <t>(f = e-b)</t>
  </si>
  <si>
    <t>Change in FTES</t>
  </si>
  <si>
    <t>(g = f/b)</t>
  </si>
  <si>
    <t>Percent change in FTES</t>
  </si>
  <si>
    <t>(h = a*g)</t>
  </si>
  <si>
    <t>FTES adjustment</t>
  </si>
  <si>
    <t>(i = a + h)</t>
  </si>
  <si>
    <t>P1 Funded Credit FTES</t>
  </si>
  <si>
    <t>The percent change in FTES from prior year to current year.
(Change in FTES/Base Credit FTES)</t>
  </si>
  <si>
    <t>AD FON</t>
  </si>
  <si>
    <t>Output populates estimated Compliance FON from your estimates.</t>
  </si>
  <si>
    <t>Estimated FON</t>
  </si>
  <si>
    <t>Compliance FON (lesser of AD or P2 FON)</t>
  </si>
  <si>
    <t>7.1165%</t>
  </si>
  <si>
    <r>
      <t xml:space="preserve">Displays the data used to calculate the Faculty Obligation Number (FON) for Fall </t>
    </r>
    <r>
      <rPr>
        <b/>
        <sz val="12"/>
        <color theme="1"/>
        <rFont val="Source Sans Pro"/>
        <family val="2"/>
      </rPr>
      <t>2026</t>
    </r>
    <r>
      <rPr>
        <sz val="12"/>
        <color theme="1"/>
        <rFont val="Source Sans Pro"/>
        <family val="2"/>
      </rPr>
      <t xml:space="preserve"> Estimate P1.</t>
    </r>
  </si>
  <si>
    <t>Fall 2026 P1 FON Calculation</t>
  </si>
  <si>
    <t>Fall 2026 Estimated P1 FON</t>
  </si>
  <si>
    <t>Definitions for Fall 2026 Estimated P1 FON Calculation Tab</t>
  </si>
  <si>
    <r>
      <t xml:space="preserve">Fall </t>
    </r>
    <r>
      <rPr>
        <b/>
        <sz val="12"/>
        <color theme="1"/>
        <rFont val="Source Sans Pro"/>
        <family val="2"/>
      </rPr>
      <t>2025</t>
    </r>
    <r>
      <rPr>
        <sz val="12"/>
        <color theme="1"/>
        <rFont val="Source Sans Pro"/>
        <family val="2"/>
      </rPr>
      <t xml:space="preserve"> R1 FON calculation</t>
    </r>
  </si>
  <si>
    <r>
      <rPr>
        <b/>
        <sz val="12"/>
        <color theme="1"/>
        <rFont val="Source Sans Pro"/>
        <family val="2"/>
      </rPr>
      <t>2024-25</t>
    </r>
    <r>
      <rPr>
        <sz val="12"/>
        <color theme="1"/>
        <rFont val="Source Sans Pro"/>
        <family val="2"/>
      </rPr>
      <t xml:space="preserve"> R1 Funded Credit FTES
 Exhibit C, Section 1a: FTES Data and Calculations, column i "</t>
    </r>
    <r>
      <rPr>
        <b/>
        <sz val="12"/>
        <color theme="1"/>
        <rFont val="Source Sans Pro"/>
        <family val="2"/>
      </rPr>
      <t>2024-25</t>
    </r>
    <r>
      <rPr>
        <sz val="12"/>
        <color theme="1"/>
        <rFont val="Source Sans Pro"/>
        <family val="2"/>
      </rPr>
      <t xml:space="preserve"> Funded", Credit + Special Admit Credit + Incarcerated Credit.  </t>
    </r>
  </si>
  <si>
    <r>
      <rPr>
        <b/>
        <sz val="12"/>
        <color theme="1"/>
        <rFont val="Source Sans Pro"/>
        <family val="2"/>
      </rPr>
      <t>2025-26</t>
    </r>
    <r>
      <rPr>
        <sz val="12"/>
        <color theme="1"/>
        <rFont val="Source Sans Pro"/>
        <family val="2"/>
      </rPr>
      <t xml:space="preserve"> P1 Funded Credit FTES
Exhibit C, Section 1a: FTES Data and Calculations, column i, "</t>
    </r>
    <r>
      <rPr>
        <b/>
        <sz val="12"/>
        <color theme="1"/>
        <rFont val="Source Sans Pro"/>
        <family val="2"/>
      </rPr>
      <t>2025-26</t>
    </r>
    <r>
      <rPr>
        <sz val="12"/>
        <color theme="1"/>
        <rFont val="Source Sans Pro"/>
        <family val="2"/>
      </rPr>
      <t xml:space="preserve"> Funded", Credit + Special Admit Credit + Incarcerated Credit.  </t>
    </r>
  </si>
  <si>
    <r>
      <rPr>
        <b/>
        <sz val="12"/>
        <rFont val="Source Sans Pro"/>
        <family val="2"/>
      </rPr>
      <t>2025-26</t>
    </r>
    <r>
      <rPr>
        <sz val="12"/>
        <rFont val="Source Sans Pro"/>
        <family val="2"/>
      </rPr>
      <t xml:space="preserve"> P1 Revenue Deficit Percentage</t>
    </r>
  </si>
  <si>
    <r>
      <t xml:space="preserve">Calculated in Fall </t>
    </r>
    <r>
      <rPr>
        <b/>
        <sz val="12"/>
        <color theme="1"/>
        <rFont val="Source Sans Pro"/>
        <family val="2"/>
      </rPr>
      <t>2026</t>
    </r>
    <r>
      <rPr>
        <sz val="12"/>
        <color theme="1"/>
        <rFont val="Source Sans Pro"/>
        <family val="2"/>
      </rPr>
      <t xml:space="preserve"> Estimated P1 FON Calculation tab spreadsheet.</t>
    </r>
  </si>
  <si>
    <r>
      <t xml:space="preserve">The Fall </t>
    </r>
    <r>
      <rPr>
        <b/>
        <sz val="12"/>
        <color theme="1"/>
        <rFont val="Source Sans Pro"/>
        <family val="2"/>
      </rPr>
      <t>2026</t>
    </r>
    <r>
      <rPr>
        <sz val="12"/>
        <color theme="1"/>
        <rFont val="Source Sans Pro"/>
        <family val="2"/>
      </rPr>
      <t xml:space="preserve"> Estimated P1 FON is used to determine compliance FON. The compliance FON is the lower of the FON calculated at Advance or at the second principal apportionment (P2).</t>
    </r>
  </si>
  <si>
    <t>Fall 2026
P1 FON</t>
  </si>
  <si>
    <t xml:space="preserve">Fall 2026 Estimated P1 Faculty Obligation Number </t>
  </si>
  <si>
    <t>Base FON:
2024-25 Fall 2025 R1 FON
(a)</t>
  </si>
  <si>
    <t>Base FTES: 
2024-25 R1 Funded Credit FTES
(b)</t>
  </si>
  <si>
    <t>Provided by SCFF 2025-26 P1 Exhibit C</t>
  </si>
  <si>
    <t>2025-26 P1
Deficit Percentage
(d)</t>
  </si>
  <si>
    <t>Fall 2026 Estimated P1 FON
(i =  a+ h)</t>
  </si>
  <si>
    <t>Use Fall 2025 R1 workbook (Tab: Fall 2025 R1 FON Calculation, Column K)</t>
  </si>
  <si>
    <t>Use Fall 2025 R1 workbook (Tab: Fall 2025 R1 FON Calculation, Column E)</t>
  </si>
  <si>
    <t>Fall 2026 FON Estimator Tool</t>
  </si>
  <si>
    <t>Automatically populates from Tab "Fall 2026 Estimated P1 FON Calculation" by choosing district.</t>
  </si>
  <si>
    <t>Automatically populates from Tab "Fall 2026 Estimated P1 FON" by choosing district.</t>
  </si>
  <si>
    <t>Estimated Fall 2026 P1 FON</t>
  </si>
  <si>
    <t>Fall 2025
Compliance FON</t>
  </si>
  <si>
    <t xml:space="preserve">Fall 2025
Reported FON </t>
  </si>
  <si>
    <t>Fall 2026
Estimated P1 FON</t>
  </si>
  <si>
    <t>Fall 2026 Estimated Compliance FON</t>
  </si>
  <si>
    <t>Fall 2026 
Advance FON</t>
  </si>
  <si>
    <r>
      <t xml:space="preserve">Assists a district with projecting compliance FON for Fall </t>
    </r>
    <r>
      <rPr>
        <b/>
        <sz val="12"/>
        <color theme="1"/>
        <rFont val="Source Sans Pro"/>
        <family val="2"/>
      </rPr>
      <t xml:space="preserve">2026. </t>
    </r>
  </si>
  <si>
    <t xml:space="preserve">FTES Adjustment (rounded)
(h = a*g) </t>
  </si>
  <si>
    <t>Funded Credit FTES</t>
  </si>
  <si>
    <t>Funded Credit FTES
2025-26 P1 
(c )</t>
  </si>
  <si>
    <r>
      <t xml:space="preserve">Provides definitions for Fall </t>
    </r>
    <r>
      <rPr>
        <b/>
        <sz val="12"/>
        <color theme="1"/>
        <rFont val="Source Sans Pro"/>
        <family val="2"/>
      </rPr>
      <t>2026</t>
    </r>
    <r>
      <rPr>
        <sz val="12"/>
        <color theme="1"/>
        <rFont val="Source Sans Pro"/>
        <family val="2"/>
      </rPr>
      <t xml:space="preserve"> Estimated P1 FON calculations and sources.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</si>
</sst>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General_)"/>
    <numFmt numFmtId="166" formatCode="#,##0.0"/>
    <numFmt numFmtId="167" formatCode="0.0000%"/>
    <numFmt numFmtId="168" formatCode="_(* #,##0.0_);_(* \(#,##0.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sz val="11"/>
      <color theme="1"/>
      <name val="Source Sans Pro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b/>
      <sz val="14"/>
      <color theme="1"/>
      <name val="Crimso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.75"/>
      <name val="Helv"/>
    </font>
    <font>
      <sz val="10"/>
      <name val="MS Sans Serif"/>
      <family val="2"/>
    </font>
    <font>
      <sz val="10"/>
      <name val="Courier"/>
      <family val="3"/>
    </font>
    <font>
      <sz val="10"/>
      <name val="Times New Roman"/>
      <family val="1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Arial"/>
      <family val="2"/>
    </font>
    <font>
      <sz val="8"/>
      <name val="Futura MdCn BT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name val="Source Sans Pro"/>
      <family val="2"/>
    </font>
    <font>
      <sz val="11"/>
      <name val="Source Sans Pro"/>
      <family val="2"/>
    </font>
    <font>
      <b/>
      <sz val="15"/>
      <color rgb="FF002F6D"/>
      <name val="Source Sans Pro Semibold"/>
      <family val="2"/>
    </font>
    <font>
      <b/>
      <sz val="15"/>
      <color rgb="FF002F6D"/>
      <name val="Crimson"/>
      <family val="1"/>
    </font>
    <font>
      <b/>
      <sz val="14"/>
      <color theme="1"/>
      <name val="Source Sans Pro Semibold"/>
      <family val="2"/>
    </font>
    <font>
      <b/>
      <sz val="12"/>
      <color theme="0"/>
      <name val="Source Sans Pro"/>
      <family val="2"/>
    </font>
    <font>
      <sz val="12"/>
      <color theme="1"/>
      <name val="Source Sans Pro"/>
      <family val="2"/>
    </font>
    <font>
      <sz val="12"/>
      <name val="Source Sans Pro"/>
      <family val="2"/>
    </font>
    <font>
      <b/>
      <sz val="14"/>
      <color theme="1"/>
      <name val="Source Sans Pro"/>
      <family val="2"/>
    </font>
    <font>
      <b/>
      <sz val="12"/>
      <color theme="1"/>
      <name val="Source Sans Pro"/>
      <family val="2"/>
    </font>
    <font>
      <b/>
      <sz val="14"/>
      <color rgb="FF002F6D"/>
      <name val="Source Sans Pro"/>
      <family val="2"/>
    </font>
    <font>
      <sz val="11"/>
      <color rgb="FF002F6D"/>
      <name val="Wingdings"/>
      <charset val="2"/>
    </font>
    <font>
      <sz val="12"/>
      <color rgb="FF3F3F76"/>
      <name val="Calibri"/>
      <family val="2"/>
      <scheme val="minor"/>
    </font>
    <font>
      <b/>
      <sz val="12"/>
      <name val="Source Sans Pro"/>
      <family val="2"/>
    </font>
    <font>
      <i/>
      <sz val="9"/>
      <color rgb="FF7F7F7F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66BA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</borders>
  <cellStyleXfs count="235">
    <xf numFmtId="0" fontId="0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33" borderId="0" applyNumberFormat="0" applyBorder="0" applyAlignment="0" applyProtection="0"/>
    <xf numFmtId="41" fontId="3" fillId="0" borderId="0" applyFont="0" applyFill="0" applyBorder="0" applyAlignment="0" applyProtection="0"/>
    <xf numFmtId="38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quotePrefix="1" applyFont="0" applyFill="0" applyBorder="0" applyAlignment="0">
      <protection locked="0"/>
    </xf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3" fillId="0" borderId="0"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28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36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4" fillId="0" borderId="0"/>
    <xf numFmtId="0" fontId="26" fillId="0" borderId="0"/>
    <xf numFmtId="0" fontId="25" fillId="0" borderId="0">
      <alignment wrapText="1"/>
    </xf>
    <xf numFmtId="0" fontId="25" fillId="0" borderId="0"/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25" fillId="0" borderId="0">
      <alignment wrapText="1"/>
    </xf>
    <xf numFmtId="0" fontId="3" fillId="0" borderId="0"/>
    <xf numFmtId="165" fontId="29" fillId="0" borderId="0"/>
    <xf numFmtId="0" fontId="25" fillId="0" borderId="0">
      <alignment wrapText="1"/>
    </xf>
    <xf numFmtId="0" fontId="25" fillId="0" borderId="0">
      <alignment wrapText="1"/>
    </xf>
    <xf numFmtId="0" fontId="36" fillId="0" borderId="0"/>
    <xf numFmtId="0" fontId="27" fillId="0" borderId="0"/>
    <xf numFmtId="0" fontId="29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3" fillId="0" borderId="0"/>
    <xf numFmtId="0" fontId="3" fillId="0" borderId="0"/>
    <xf numFmtId="0" fontId="36" fillId="0" borderId="0"/>
    <xf numFmtId="0" fontId="25" fillId="0" borderId="0"/>
    <xf numFmtId="0" fontId="36" fillId="0" borderId="0"/>
    <xf numFmtId="0" fontId="25" fillId="0" borderId="0"/>
    <xf numFmtId="0" fontId="3" fillId="0" borderId="0"/>
    <xf numFmtId="0" fontId="3" fillId="9" borderId="15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  <xf numFmtId="0" fontId="35" fillId="0" borderId="0" applyNumberFormat="0" applyBorder="0"/>
    <xf numFmtId="0" fontId="4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114">
    <xf numFmtId="0" fontId="0" fillId="0" borderId="0" xfId="0"/>
    <xf numFmtId="0" fontId="5" fillId="0" borderId="0" xfId="0" applyFont="1" applyAlignment="1">
      <alignment vertical="top" wrapText="1"/>
    </xf>
    <xf numFmtId="3" fontId="6" fillId="0" borderId="5" xfId="0" applyNumberFormat="1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1" fontId="6" fillId="0" borderId="0" xfId="0" applyNumberFormat="1" applyFont="1"/>
    <xf numFmtId="166" fontId="6" fillId="0" borderId="0" xfId="0" applyNumberFormat="1" applyFont="1"/>
    <xf numFmtId="0" fontId="1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1" fillId="0" borderId="0" xfId="17"/>
    <xf numFmtId="166" fontId="22" fillId="0" borderId="19" xfId="0" applyNumberFormat="1" applyFont="1" applyBorder="1"/>
    <xf numFmtId="166" fontId="22" fillId="0" borderId="20" xfId="0" applyNumberFormat="1" applyFont="1" applyBorder="1"/>
    <xf numFmtId="3" fontId="22" fillId="0" borderId="21" xfId="0" applyNumberFormat="1" applyFont="1" applyBorder="1"/>
    <xf numFmtId="166" fontId="6" fillId="0" borderId="22" xfId="0" applyNumberFormat="1" applyFont="1" applyBorder="1"/>
    <xf numFmtId="166" fontId="6" fillId="0" borderId="23" xfId="0" applyNumberFormat="1" applyFont="1" applyBorder="1"/>
    <xf numFmtId="166" fontId="6" fillId="0" borderId="24" xfId="0" applyNumberFormat="1" applyFont="1" applyBorder="1"/>
    <xf numFmtId="166" fontId="6" fillId="34" borderId="22" xfId="0" applyNumberFormat="1" applyFont="1" applyFill="1" applyBorder="1"/>
    <xf numFmtId="166" fontId="6" fillId="34" borderId="23" xfId="0" applyNumberFormat="1" applyFont="1" applyFill="1" applyBorder="1"/>
    <xf numFmtId="166" fontId="6" fillId="34" borderId="24" xfId="0" applyNumberFormat="1" applyFont="1" applyFill="1" applyBorder="1"/>
    <xf numFmtId="166" fontId="0" fillId="0" borderId="0" xfId="0" applyNumberFormat="1"/>
    <xf numFmtId="166" fontId="6" fillId="34" borderId="25" xfId="0" applyNumberFormat="1" applyFont="1" applyFill="1" applyBorder="1"/>
    <xf numFmtId="166" fontId="6" fillId="34" borderId="26" xfId="0" applyNumberFormat="1" applyFont="1" applyFill="1" applyBorder="1"/>
    <xf numFmtId="166" fontId="6" fillId="34" borderId="27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4" fillId="35" borderId="0" xfId="0" applyFont="1" applyFill="1" applyAlignment="1">
      <alignment horizontal="left" vertical="top"/>
    </xf>
    <xf numFmtId="0" fontId="45" fillId="35" borderId="0" xfId="0" applyFont="1" applyFill="1" applyAlignment="1">
      <alignment horizontal="center"/>
    </xf>
    <xf numFmtId="0" fontId="46" fillId="0" borderId="0" xfId="0" applyFont="1"/>
    <xf numFmtId="0" fontId="42" fillId="0" borderId="0" xfId="0" applyFont="1"/>
    <xf numFmtId="164" fontId="1" fillId="0" borderId="0" xfId="1" applyNumberFormat="1" applyFont="1"/>
    <xf numFmtId="0" fontId="7" fillId="2" borderId="28" xfId="0" applyFont="1" applyFill="1" applyBorder="1" applyAlignment="1">
      <alignment horizontal="center" vertical="center" wrapText="1"/>
    </xf>
    <xf numFmtId="3" fontId="6" fillId="34" borderId="5" xfId="0" applyNumberFormat="1" applyFont="1" applyFill="1" applyBorder="1"/>
    <xf numFmtId="166" fontId="6" fillId="34" borderId="0" xfId="0" applyNumberFormat="1" applyFont="1" applyFill="1"/>
    <xf numFmtId="43" fontId="6" fillId="34" borderId="0" xfId="232" applyFont="1" applyFill="1"/>
    <xf numFmtId="43" fontId="6" fillId="0" borderId="0" xfId="232" applyFont="1"/>
    <xf numFmtId="168" fontId="6" fillId="34" borderId="0" xfId="232" applyNumberFormat="1" applyFont="1" applyFill="1"/>
    <xf numFmtId="41" fontId="6" fillId="34" borderId="0" xfId="233" applyFont="1" applyFill="1"/>
    <xf numFmtId="10" fontId="6" fillId="34" borderId="0" xfId="1" applyNumberFormat="1" applyFont="1" applyFill="1" applyBorder="1"/>
    <xf numFmtId="41" fontId="6" fillId="34" borderId="0" xfId="0" quotePrefix="1" applyNumberFormat="1" applyFont="1" applyFill="1"/>
    <xf numFmtId="166" fontId="43" fillId="0" borderId="0" xfId="232" applyNumberFormat="1" applyFont="1"/>
    <xf numFmtId="168" fontId="6" fillId="0" borderId="0" xfId="232" applyNumberFormat="1" applyFont="1"/>
    <xf numFmtId="41" fontId="6" fillId="0" borderId="0" xfId="233" applyFont="1"/>
    <xf numFmtId="10" fontId="6" fillId="0" borderId="0" xfId="1" applyNumberFormat="1" applyFont="1" applyBorder="1"/>
    <xf numFmtId="166" fontId="43" fillId="0" borderId="0" xfId="0" applyNumberFormat="1" applyFont="1"/>
    <xf numFmtId="41" fontId="6" fillId="34" borderId="0" xfId="0" applyNumberFormat="1" applyFont="1" applyFill="1"/>
    <xf numFmtId="0" fontId="6" fillId="0" borderId="30" xfId="0" applyFont="1" applyBorder="1"/>
    <xf numFmtId="166" fontId="6" fillId="0" borderId="17" xfId="0" applyNumberFormat="1" applyFont="1" applyBorder="1"/>
    <xf numFmtId="167" fontId="6" fillId="0" borderId="17" xfId="0" applyNumberFormat="1" applyFont="1" applyBorder="1" applyAlignment="1">
      <alignment horizontal="right"/>
    </xf>
    <xf numFmtId="168" fontId="6" fillId="0" borderId="17" xfId="0" applyNumberFormat="1" applyFont="1" applyBorder="1"/>
    <xf numFmtId="41" fontId="6" fillId="0" borderId="17" xfId="0" applyNumberFormat="1" applyFont="1" applyBorder="1"/>
    <xf numFmtId="10" fontId="6" fillId="0" borderId="17" xfId="0" applyNumberFormat="1" applyFont="1" applyBorder="1"/>
    <xf numFmtId="43" fontId="1" fillId="0" borderId="0" xfId="232" applyFont="1"/>
    <xf numFmtId="0" fontId="46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7" fillId="2" borderId="6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8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/>
    <xf numFmtId="0" fontId="48" fillId="0" borderId="1" xfId="0" applyFont="1" applyBorder="1" applyAlignment="1">
      <alignment vertical="center" wrapText="1"/>
    </xf>
    <xf numFmtId="0" fontId="47" fillId="2" borderId="18" xfId="0" applyFont="1" applyFill="1" applyBorder="1" applyAlignment="1">
      <alignment horizontal="center" vertical="top" wrapText="1"/>
    </xf>
    <xf numFmtId="0" fontId="47" fillId="2" borderId="6" xfId="0" applyFont="1" applyFill="1" applyBorder="1" applyAlignment="1">
      <alignment horizontal="center" wrapText="1"/>
    </xf>
    <xf numFmtId="43" fontId="0" fillId="0" borderId="0" xfId="0" applyNumberFormat="1"/>
    <xf numFmtId="43" fontId="6" fillId="0" borderId="17" xfId="0" applyNumberFormat="1" applyFont="1" applyBorder="1"/>
    <xf numFmtId="167" fontId="0" fillId="0" borderId="0" xfId="1" applyNumberFormat="1" applyFont="1"/>
    <xf numFmtId="0" fontId="0" fillId="35" borderId="0" xfId="0" applyFill="1"/>
    <xf numFmtId="0" fontId="0" fillId="36" borderId="0" xfId="0" applyFill="1"/>
    <xf numFmtId="0" fontId="50" fillId="35" borderId="2" xfId="0" applyFont="1" applyFill="1" applyBorder="1"/>
    <xf numFmtId="0" fontId="48" fillId="35" borderId="3" xfId="0" applyFont="1" applyFill="1" applyBorder="1"/>
    <xf numFmtId="0" fontId="48" fillId="35" borderId="4" xfId="0" applyFont="1" applyFill="1" applyBorder="1"/>
    <xf numFmtId="0" fontId="1" fillId="36" borderId="0" xfId="0" applyFont="1" applyFill="1"/>
    <xf numFmtId="0" fontId="51" fillId="35" borderId="5" xfId="0" applyFont="1" applyFill="1" applyBorder="1" applyAlignment="1">
      <alignment horizontal="left" vertical="top"/>
    </xf>
    <xf numFmtId="0" fontId="52" fillId="37" borderId="35" xfId="0" applyFont="1" applyFill="1" applyBorder="1" applyAlignment="1" applyProtection="1">
      <alignment horizontal="center"/>
      <protection locked="0"/>
    </xf>
    <xf numFmtId="0" fontId="48" fillId="35" borderId="31" xfId="0" applyFont="1" applyFill="1" applyBorder="1" applyAlignment="1">
      <alignment horizontal="right"/>
    </xf>
    <xf numFmtId="0" fontId="53" fillId="36" borderId="0" xfId="0" applyFont="1" applyFill="1"/>
    <xf numFmtId="0" fontId="48" fillId="36" borderId="0" xfId="0" applyFont="1" applyFill="1"/>
    <xf numFmtId="0" fontId="51" fillId="35" borderId="5" xfId="0" applyFont="1" applyFill="1" applyBorder="1"/>
    <xf numFmtId="0" fontId="48" fillId="35" borderId="0" xfId="0" applyFont="1" applyFill="1"/>
    <xf numFmtId="0" fontId="48" fillId="35" borderId="5" xfId="0" applyFont="1" applyFill="1" applyBorder="1"/>
    <xf numFmtId="39" fontId="54" fillId="35" borderId="36" xfId="11" applyNumberFormat="1" applyFont="1" applyFill="1" applyBorder="1" applyAlignment="1" applyProtection="1">
      <alignment horizontal="right"/>
      <protection locked="0"/>
    </xf>
    <xf numFmtId="167" fontId="54" fillId="35" borderId="36" xfId="11" applyNumberFormat="1" applyFont="1" applyFill="1" applyBorder="1" applyAlignment="1" applyProtection="1">
      <alignment horizontal="right"/>
      <protection locked="0"/>
    </xf>
    <xf numFmtId="0" fontId="48" fillId="35" borderId="5" xfId="0" applyFont="1" applyFill="1" applyBorder="1" applyAlignment="1">
      <alignment horizontal="right"/>
    </xf>
    <xf numFmtId="4" fontId="48" fillId="35" borderId="31" xfId="0" applyNumberFormat="1" applyFont="1" applyFill="1" applyBorder="1" applyAlignment="1">
      <alignment horizontal="right"/>
    </xf>
    <xf numFmtId="0" fontId="0" fillId="36" borderId="0" xfId="0" applyFill="1" applyAlignment="1">
      <alignment horizontal="center"/>
    </xf>
    <xf numFmtId="4" fontId="48" fillId="35" borderId="31" xfId="232" applyNumberFormat="1" applyFont="1" applyFill="1" applyBorder="1" applyAlignment="1" applyProtection="1">
      <alignment horizontal="right"/>
    </xf>
    <xf numFmtId="10" fontId="48" fillId="35" borderId="31" xfId="0" applyNumberFormat="1" applyFont="1" applyFill="1" applyBorder="1" applyAlignment="1">
      <alignment horizontal="right"/>
    </xf>
    <xf numFmtId="39" fontId="48" fillId="35" borderId="31" xfId="232" applyNumberFormat="1" applyFont="1" applyFill="1" applyBorder="1" applyAlignment="1" applyProtection="1">
      <alignment horizontal="right"/>
    </xf>
    <xf numFmtId="10" fontId="48" fillId="35" borderId="31" xfId="1" applyNumberFormat="1" applyFont="1" applyFill="1" applyBorder="1" applyAlignment="1" applyProtection="1">
      <alignment horizontal="right"/>
    </xf>
    <xf numFmtId="4" fontId="48" fillId="35" borderId="31" xfId="0" quotePrefix="1" applyNumberFormat="1" applyFont="1" applyFill="1" applyBorder="1" applyAlignment="1">
      <alignment horizontal="right"/>
    </xf>
    <xf numFmtId="0" fontId="48" fillId="36" borderId="0" xfId="0" quotePrefix="1" applyFont="1" applyFill="1"/>
    <xf numFmtId="0" fontId="48" fillId="35" borderId="32" xfId="0" applyFont="1" applyFill="1" applyBorder="1"/>
    <xf numFmtId="0" fontId="48" fillId="35" borderId="33" xfId="0" applyFont="1" applyFill="1" applyBorder="1"/>
    <xf numFmtId="4" fontId="48" fillId="35" borderId="34" xfId="0" applyNumberFormat="1" applyFont="1" applyFill="1" applyBorder="1" applyAlignment="1">
      <alignment horizontal="right"/>
    </xf>
    <xf numFmtId="0" fontId="44" fillId="0" borderId="0" xfId="0" applyFont="1" applyAlignment="1">
      <alignment horizontal="left" vertical="top"/>
    </xf>
    <xf numFmtId="0" fontId="21" fillId="0" borderId="0" xfId="17" applyAlignment="1">
      <alignment horizontal="left" vertical="top"/>
    </xf>
    <xf numFmtId="164" fontId="21" fillId="0" borderId="0" xfId="17" applyNumberFormat="1" applyAlignment="1">
      <alignment horizontal="left" vertical="top"/>
    </xf>
    <xf numFmtId="0" fontId="56" fillId="0" borderId="0" xfId="17" applyFont="1" applyFill="1" applyAlignment="1">
      <alignment horizontal="left" vertical="top" wrapText="1"/>
    </xf>
    <xf numFmtId="0" fontId="21" fillId="0" borderId="0" xfId="17" applyFill="1" applyAlignment="1">
      <alignment horizontal="left" vertical="top" wrapText="1"/>
    </xf>
    <xf numFmtId="0" fontId="7" fillId="2" borderId="17" xfId="0" applyFont="1" applyFill="1" applyBorder="1" applyAlignment="1">
      <alignment horizontal="left" wrapText="1"/>
    </xf>
    <xf numFmtId="164" fontId="7" fillId="2" borderId="17" xfId="1" applyNumberFormat="1" applyFont="1" applyFill="1" applyBorder="1" applyAlignment="1">
      <alignment horizontal="left" wrapText="1"/>
    </xf>
    <xf numFmtId="0" fontId="7" fillId="2" borderId="29" xfId="0" applyFont="1" applyFill="1" applyBorder="1" applyAlignment="1">
      <alignment horizontal="left" wrapText="1"/>
    </xf>
    <xf numFmtId="0" fontId="47" fillId="2" borderId="18" xfId="0" applyFont="1" applyFill="1" applyBorder="1" applyAlignment="1">
      <alignment horizontal="center" vertical="center"/>
    </xf>
    <xf numFmtId="0" fontId="38" fillId="0" borderId="1" xfId="234" applyBorder="1"/>
    <xf numFmtId="0" fontId="38" fillId="0" borderId="1" xfId="234" applyBorder="1" applyAlignment="1">
      <alignment wrapText="1"/>
    </xf>
  </cellXfs>
  <cellStyles count="23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32" builtinId="3"/>
    <cellStyle name="Comma [0]" xfId="233" builtinId="6"/>
    <cellStyle name="Comma [0] 2" xfId="43" xr:uid="{00000000-0005-0000-0000-00001C000000}"/>
    <cellStyle name="Comma [0] 2 2" xfId="44" xr:uid="{00000000-0005-0000-0000-00001D000000}"/>
    <cellStyle name="Comma 10" xfId="45" xr:uid="{00000000-0005-0000-0000-00001E000000}"/>
    <cellStyle name="Comma 2" xfId="2" xr:uid="{00000000-0005-0000-0000-00001F000000}"/>
    <cellStyle name="Comma 2 2" xfId="47" xr:uid="{00000000-0005-0000-0000-000020000000}"/>
    <cellStyle name="Comma 2 2 2" xfId="48" xr:uid="{00000000-0005-0000-0000-000021000000}"/>
    <cellStyle name="Comma 2 2 2 2" xfId="49" xr:uid="{00000000-0005-0000-0000-000022000000}"/>
    <cellStyle name="Comma 2 2 3" xfId="50" xr:uid="{00000000-0005-0000-0000-000023000000}"/>
    <cellStyle name="Comma 2 2 4" xfId="51" xr:uid="{00000000-0005-0000-0000-000024000000}"/>
    <cellStyle name="Comma 2 2 5" xfId="52" xr:uid="{00000000-0005-0000-0000-000025000000}"/>
    <cellStyle name="Comma 2 2 6" xfId="53" xr:uid="{00000000-0005-0000-0000-000026000000}"/>
    <cellStyle name="Comma 2 2 7" xfId="54" xr:uid="{00000000-0005-0000-0000-000027000000}"/>
    <cellStyle name="Comma 2 2 8" xfId="55" xr:uid="{00000000-0005-0000-0000-000028000000}"/>
    <cellStyle name="Comma 2 2 9" xfId="56" xr:uid="{00000000-0005-0000-0000-000029000000}"/>
    <cellStyle name="Comma 2 3" xfId="57" xr:uid="{00000000-0005-0000-0000-00002A000000}"/>
    <cellStyle name="Comma 2 3 2" xfId="58" xr:uid="{00000000-0005-0000-0000-00002B000000}"/>
    <cellStyle name="Comma 2 3 3" xfId="59" xr:uid="{00000000-0005-0000-0000-00002C000000}"/>
    <cellStyle name="Comma 2 3 4" xfId="60" xr:uid="{00000000-0005-0000-0000-00002D000000}"/>
    <cellStyle name="Comma 2 3 5" xfId="61" xr:uid="{00000000-0005-0000-0000-00002E000000}"/>
    <cellStyle name="Comma 2 3 6" xfId="62" xr:uid="{00000000-0005-0000-0000-00002F000000}"/>
    <cellStyle name="Comma 2 3 7" xfId="63" xr:uid="{00000000-0005-0000-0000-000030000000}"/>
    <cellStyle name="Comma 2 3 8" xfId="64" xr:uid="{00000000-0005-0000-0000-000031000000}"/>
    <cellStyle name="Comma 2 4" xfId="65" xr:uid="{00000000-0005-0000-0000-000032000000}"/>
    <cellStyle name="Comma 2 5" xfId="66" xr:uid="{00000000-0005-0000-0000-000033000000}"/>
    <cellStyle name="Comma 2 6" xfId="67" xr:uid="{00000000-0005-0000-0000-000034000000}"/>
    <cellStyle name="Comma 2 7" xfId="68" xr:uid="{00000000-0005-0000-0000-000035000000}"/>
    <cellStyle name="Comma 2 8" xfId="69" xr:uid="{00000000-0005-0000-0000-000036000000}"/>
    <cellStyle name="Comma 2 9" xfId="46" xr:uid="{00000000-0005-0000-0000-000037000000}"/>
    <cellStyle name="Comma 3" xfId="70" xr:uid="{00000000-0005-0000-0000-000038000000}"/>
    <cellStyle name="Comma 4" xfId="71" xr:uid="{00000000-0005-0000-0000-000039000000}"/>
    <cellStyle name="Comma 4 10" xfId="72" xr:uid="{00000000-0005-0000-0000-00003A000000}"/>
    <cellStyle name="Comma 4 11" xfId="73" xr:uid="{00000000-0005-0000-0000-00003B000000}"/>
    <cellStyle name="Comma 4 12" xfId="74" xr:uid="{00000000-0005-0000-0000-00003C000000}"/>
    <cellStyle name="Comma 4 2" xfId="75" xr:uid="{00000000-0005-0000-0000-00003D000000}"/>
    <cellStyle name="Comma 4 2 2" xfId="76" xr:uid="{00000000-0005-0000-0000-00003E000000}"/>
    <cellStyle name="Comma 4 3" xfId="77" xr:uid="{00000000-0005-0000-0000-00003F000000}"/>
    <cellStyle name="Comma 4 4" xfId="78" xr:uid="{00000000-0005-0000-0000-000040000000}"/>
    <cellStyle name="Comma 4 5" xfId="79" xr:uid="{00000000-0005-0000-0000-000041000000}"/>
    <cellStyle name="Comma 4 6" xfId="80" xr:uid="{00000000-0005-0000-0000-000042000000}"/>
    <cellStyle name="Comma 4 7" xfId="81" xr:uid="{00000000-0005-0000-0000-000043000000}"/>
    <cellStyle name="Comma 4 8" xfId="82" xr:uid="{00000000-0005-0000-0000-000044000000}"/>
    <cellStyle name="Comma 4 9" xfId="83" xr:uid="{00000000-0005-0000-0000-000045000000}"/>
    <cellStyle name="Comma 5" xfId="84" xr:uid="{00000000-0005-0000-0000-000046000000}"/>
    <cellStyle name="Comma 5 2" xfId="85" xr:uid="{00000000-0005-0000-0000-000047000000}"/>
    <cellStyle name="Comma 5 3" xfId="86" xr:uid="{00000000-0005-0000-0000-000048000000}"/>
    <cellStyle name="Comma 5 4" xfId="87" xr:uid="{00000000-0005-0000-0000-000049000000}"/>
    <cellStyle name="Comma 5 5" xfId="88" xr:uid="{00000000-0005-0000-0000-00004A000000}"/>
    <cellStyle name="Comma 5 6" xfId="89" xr:uid="{00000000-0005-0000-0000-00004B000000}"/>
    <cellStyle name="Comma 6" xfId="90" xr:uid="{00000000-0005-0000-0000-00004C000000}"/>
    <cellStyle name="Comma 7" xfId="91" xr:uid="{00000000-0005-0000-0000-00004D000000}"/>
    <cellStyle name="Comma 8" xfId="92" xr:uid="{00000000-0005-0000-0000-00004E000000}"/>
    <cellStyle name="Comma 9" xfId="93" xr:uid="{00000000-0005-0000-0000-00004F000000}"/>
    <cellStyle name="Currency [0] 2" xfId="94" xr:uid="{00000000-0005-0000-0000-000050000000}"/>
    <cellStyle name="Currency 2" xfId="95" xr:uid="{00000000-0005-0000-0000-000051000000}"/>
    <cellStyle name="Currency 2 2" xfId="96" xr:uid="{00000000-0005-0000-0000-000052000000}"/>
    <cellStyle name="Currency 2 2 2" xfId="97" xr:uid="{00000000-0005-0000-0000-000053000000}"/>
    <cellStyle name="Currency 2 2 3" xfId="98" xr:uid="{00000000-0005-0000-0000-000054000000}"/>
    <cellStyle name="Currency 2 2 4" xfId="99" xr:uid="{00000000-0005-0000-0000-000055000000}"/>
    <cellStyle name="Currency 2 2 5" xfId="100" xr:uid="{00000000-0005-0000-0000-000056000000}"/>
    <cellStyle name="Currency 2 2 6" xfId="101" xr:uid="{00000000-0005-0000-0000-000057000000}"/>
    <cellStyle name="Currency 2 3" xfId="102" xr:uid="{00000000-0005-0000-0000-000058000000}"/>
    <cellStyle name="Currency 2 4" xfId="103" xr:uid="{00000000-0005-0000-0000-000059000000}"/>
    <cellStyle name="Currency 2 5" xfId="104" xr:uid="{00000000-0005-0000-0000-00005A000000}"/>
    <cellStyle name="Currency 3" xfId="105" xr:uid="{00000000-0005-0000-0000-00005B000000}"/>
    <cellStyle name="Currency 3 2" xfId="106" xr:uid="{00000000-0005-0000-0000-00005C000000}"/>
    <cellStyle name="Currency 4" xfId="107" xr:uid="{00000000-0005-0000-0000-00005D000000}"/>
    <cellStyle name="Currency 4 2" xfId="108" xr:uid="{00000000-0005-0000-0000-00005E000000}"/>
    <cellStyle name="Currency 5" xfId="109" xr:uid="{00000000-0005-0000-0000-00005F000000}"/>
    <cellStyle name="Currency 6" xfId="110" xr:uid="{00000000-0005-0000-0000-000060000000}"/>
    <cellStyle name="Explanatory Text" xfId="17" builtinId="53" customBuiltin="1"/>
    <cellStyle name="F2" xfId="111" xr:uid="{00000000-0005-0000-0000-000062000000}"/>
    <cellStyle name="F3" xfId="112" xr:uid="{00000000-0005-0000-0000-000063000000}"/>
    <cellStyle name="F4" xfId="113" xr:uid="{00000000-0005-0000-0000-000064000000}"/>
    <cellStyle name="F5" xfId="114" xr:uid="{00000000-0005-0000-0000-000065000000}"/>
    <cellStyle name="F6" xfId="115" xr:uid="{00000000-0005-0000-0000-000066000000}"/>
    <cellStyle name="F7" xfId="116" xr:uid="{00000000-0005-0000-0000-000067000000}"/>
    <cellStyle name="F8" xfId="117" xr:uid="{00000000-0005-0000-0000-000068000000}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234" builtinId="8"/>
    <cellStyle name="Hyperlink 2" xfId="118" xr:uid="{00000000-0005-0000-0000-00006E000000}"/>
    <cellStyle name="Hyperlink 2 2" xfId="119" xr:uid="{00000000-0005-0000-0000-00006F000000}"/>
    <cellStyle name="Hyperlink 3" xfId="120" xr:uid="{00000000-0005-0000-0000-000070000000}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21" xr:uid="{00000000-0005-0000-0000-000075000000}"/>
    <cellStyle name="Normal 11" xfId="122" xr:uid="{00000000-0005-0000-0000-000076000000}"/>
    <cellStyle name="Normal 11 2" xfId="123" xr:uid="{00000000-0005-0000-0000-000077000000}"/>
    <cellStyle name="Normal 11 3" xfId="124" xr:uid="{00000000-0005-0000-0000-000078000000}"/>
    <cellStyle name="Normal 12" xfId="125" xr:uid="{00000000-0005-0000-0000-000079000000}"/>
    <cellStyle name="Normal 12 2" xfId="126" xr:uid="{00000000-0005-0000-0000-00007A000000}"/>
    <cellStyle name="Normal 13" xfId="127" xr:uid="{00000000-0005-0000-0000-00007B000000}"/>
    <cellStyle name="Normal 13 2" xfId="128" xr:uid="{00000000-0005-0000-0000-00007C000000}"/>
    <cellStyle name="Normal 14" xfId="129" xr:uid="{00000000-0005-0000-0000-00007D000000}"/>
    <cellStyle name="Normal 15" xfId="130" xr:uid="{00000000-0005-0000-0000-00007E000000}"/>
    <cellStyle name="Normal 16" xfId="131" xr:uid="{00000000-0005-0000-0000-00007F000000}"/>
    <cellStyle name="Normal 17" xfId="132" xr:uid="{00000000-0005-0000-0000-000080000000}"/>
    <cellStyle name="Normal 2" xfId="3" xr:uid="{00000000-0005-0000-0000-000081000000}"/>
    <cellStyle name="Normal 2 10" xfId="134" xr:uid="{00000000-0005-0000-0000-000082000000}"/>
    <cellStyle name="Normal 2 11" xfId="135" xr:uid="{00000000-0005-0000-0000-000083000000}"/>
    <cellStyle name="Normal 2 12" xfId="136" xr:uid="{00000000-0005-0000-0000-000084000000}"/>
    <cellStyle name="Normal 2 13" xfId="137" xr:uid="{00000000-0005-0000-0000-000085000000}"/>
    <cellStyle name="Normal 2 14" xfId="138" xr:uid="{00000000-0005-0000-0000-000086000000}"/>
    <cellStyle name="Normal 2 15" xfId="139" xr:uid="{00000000-0005-0000-0000-000087000000}"/>
    <cellStyle name="Normal 2 16" xfId="140" xr:uid="{00000000-0005-0000-0000-000088000000}"/>
    <cellStyle name="Normal 2 17" xfId="141" xr:uid="{00000000-0005-0000-0000-000089000000}"/>
    <cellStyle name="Normal 2 18" xfId="133" xr:uid="{00000000-0005-0000-0000-00008A000000}"/>
    <cellStyle name="Normal 2 2" xfId="142" xr:uid="{00000000-0005-0000-0000-00008B000000}"/>
    <cellStyle name="Normal 2 2 10" xfId="143" xr:uid="{00000000-0005-0000-0000-00008C000000}"/>
    <cellStyle name="Normal 2 2 11" xfId="144" xr:uid="{00000000-0005-0000-0000-00008D000000}"/>
    <cellStyle name="Normal 2 2 12" xfId="145" xr:uid="{00000000-0005-0000-0000-00008E000000}"/>
    <cellStyle name="Normal 2 2 13" xfId="146" xr:uid="{00000000-0005-0000-0000-00008F000000}"/>
    <cellStyle name="Normal 2 2 2" xfId="147" xr:uid="{00000000-0005-0000-0000-000090000000}"/>
    <cellStyle name="Normal 2 2 2 2" xfId="148" xr:uid="{00000000-0005-0000-0000-000091000000}"/>
    <cellStyle name="Normal 2 2 3" xfId="149" xr:uid="{00000000-0005-0000-0000-000092000000}"/>
    <cellStyle name="Normal 2 2 4" xfId="150" xr:uid="{00000000-0005-0000-0000-000093000000}"/>
    <cellStyle name="Normal 2 2 5" xfId="151" xr:uid="{00000000-0005-0000-0000-000094000000}"/>
    <cellStyle name="Normal 2 2 6" xfId="152" xr:uid="{00000000-0005-0000-0000-000095000000}"/>
    <cellStyle name="Normal 2 2 7" xfId="153" xr:uid="{00000000-0005-0000-0000-000096000000}"/>
    <cellStyle name="Normal 2 2 8" xfId="154" xr:uid="{00000000-0005-0000-0000-000097000000}"/>
    <cellStyle name="Normal 2 2 9" xfId="155" xr:uid="{00000000-0005-0000-0000-000098000000}"/>
    <cellStyle name="Normal 2 2_Book2" xfId="156" xr:uid="{00000000-0005-0000-0000-000099000000}"/>
    <cellStyle name="Normal 2 3" xfId="157" xr:uid="{00000000-0005-0000-0000-00009A000000}"/>
    <cellStyle name="Normal 2 3 2" xfId="158" xr:uid="{00000000-0005-0000-0000-00009B000000}"/>
    <cellStyle name="Normal 2 3 2 2" xfId="159" xr:uid="{00000000-0005-0000-0000-00009C000000}"/>
    <cellStyle name="Normal 2 3 2 3" xfId="160" xr:uid="{00000000-0005-0000-0000-00009D000000}"/>
    <cellStyle name="Normal 2 3 2 4" xfId="161" xr:uid="{00000000-0005-0000-0000-00009E000000}"/>
    <cellStyle name="Normal 2 3 2 5" xfId="162" xr:uid="{00000000-0005-0000-0000-00009F000000}"/>
    <cellStyle name="Normal 2 3 2 6" xfId="163" xr:uid="{00000000-0005-0000-0000-0000A0000000}"/>
    <cellStyle name="Normal 2 3 3" xfId="164" xr:uid="{00000000-0005-0000-0000-0000A1000000}"/>
    <cellStyle name="Normal 2 3 3 2" xfId="165" xr:uid="{00000000-0005-0000-0000-0000A2000000}"/>
    <cellStyle name="Normal 2 3 4" xfId="166" xr:uid="{00000000-0005-0000-0000-0000A3000000}"/>
    <cellStyle name="Normal 2 3 5" xfId="167" xr:uid="{00000000-0005-0000-0000-0000A4000000}"/>
    <cellStyle name="Normal 2 3 6" xfId="168" xr:uid="{00000000-0005-0000-0000-0000A5000000}"/>
    <cellStyle name="Normal 2 4" xfId="169" xr:uid="{00000000-0005-0000-0000-0000A6000000}"/>
    <cellStyle name="Normal 2 4 2" xfId="170" xr:uid="{00000000-0005-0000-0000-0000A7000000}"/>
    <cellStyle name="Normal 2 4 3" xfId="171" xr:uid="{00000000-0005-0000-0000-0000A8000000}"/>
    <cellStyle name="Normal 2 5" xfId="172" xr:uid="{00000000-0005-0000-0000-0000A9000000}"/>
    <cellStyle name="Normal 2 5 2" xfId="173" xr:uid="{00000000-0005-0000-0000-0000AA000000}"/>
    <cellStyle name="Normal 2 6" xfId="174" xr:uid="{00000000-0005-0000-0000-0000AB000000}"/>
    <cellStyle name="Normal 2 7" xfId="175" xr:uid="{00000000-0005-0000-0000-0000AC000000}"/>
    <cellStyle name="Normal 2 8" xfId="176" xr:uid="{00000000-0005-0000-0000-0000AD000000}"/>
    <cellStyle name="Normal 2 9" xfId="177" xr:uid="{00000000-0005-0000-0000-0000AE000000}"/>
    <cellStyle name="Normal 3" xfId="178" xr:uid="{00000000-0005-0000-0000-0000AF000000}"/>
    <cellStyle name="Normal 3 2" xfId="179" xr:uid="{00000000-0005-0000-0000-0000B0000000}"/>
    <cellStyle name="Normal 3_Book2" xfId="180" xr:uid="{00000000-0005-0000-0000-0000B1000000}"/>
    <cellStyle name="Normal 4" xfId="181" xr:uid="{00000000-0005-0000-0000-0000B2000000}"/>
    <cellStyle name="Normal 4 2" xfId="182" xr:uid="{00000000-0005-0000-0000-0000B3000000}"/>
    <cellStyle name="Normal 4 2 2" xfId="183" xr:uid="{00000000-0005-0000-0000-0000B4000000}"/>
    <cellStyle name="Normal 4 2 3" xfId="184" xr:uid="{00000000-0005-0000-0000-0000B5000000}"/>
    <cellStyle name="Normal 4 2 4" xfId="185" xr:uid="{00000000-0005-0000-0000-0000B6000000}"/>
    <cellStyle name="Normal 4 2 5" xfId="186" xr:uid="{00000000-0005-0000-0000-0000B7000000}"/>
    <cellStyle name="Normal 4 2 6" xfId="187" xr:uid="{00000000-0005-0000-0000-0000B8000000}"/>
    <cellStyle name="Normal 4 2 7" xfId="188" xr:uid="{00000000-0005-0000-0000-0000B9000000}"/>
    <cellStyle name="Normal 4 2 8" xfId="189" xr:uid="{00000000-0005-0000-0000-0000BA000000}"/>
    <cellStyle name="Normal 4 3" xfId="190" xr:uid="{00000000-0005-0000-0000-0000BB000000}"/>
    <cellStyle name="Normal 4 4" xfId="191" xr:uid="{00000000-0005-0000-0000-0000BC000000}"/>
    <cellStyle name="Normal 5" xfId="192" xr:uid="{00000000-0005-0000-0000-0000BD000000}"/>
    <cellStyle name="Normal 5 2" xfId="193" xr:uid="{00000000-0005-0000-0000-0000BE000000}"/>
    <cellStyle name="Normal 5 2 2" xfId="194" xr:uid="{00000000-0005-0000-0000-0000BF000000}"/>
    <cellStyle name="Normal 5 3" xfId="195" xr:uid="{00000000-0005-0000-0000-0000C0000000}"/>
    <cellStyle name="Normal 5 4" xfId="196" xr:uid="{00000000-0005-0000-0000-0000C1000000}"/>
    <cellStyle name="Normal 6" xfId="197" xr:uid="{00000000-0005-0000-0000-0000C2000000}"/>
    <cellStyle name="Normal 6 10" xfId="198" xr:uid="{00000000-0005-0000-0000-0000C3000000}"/>
    <cellStyle name="Normal 6 11" xfId="199" xr:uid="{00000000-0005-0000-0000-0000C4000000}"/>
    <cellStyle name="Normal 6 12" xfId="200" xr:uid="{00000000-0005-0000-0000-0000C5000000}"/>
    <cellStyle name="Normal 6 13" xfId="201" xr:uid="{00000000-0005-0000-0000-0000C6000000}"/>
    <cellStyle name="Normal 6 14" xfId="202" xr:uid="{00000000-0005-0000-0000-0000C7000000}"/>
    <cellStyle name="Normal 6 2" xfId="203" xr:uid="{00000000-0005-0000-0000-0000C8000000}"/>
    <cellStyle name="Normal 6 3" xfId="204" xr:uid="{00000000-0005-0000-0000-0000C9000000}"/>
    <cellStyle name="Normal 6 4" xfId="205" xr:uid="{00000000-0005-0000-0000-0000CA000000}"/>
    <cellStyle name="Normal 6 5" xfId="206" xr:uid="{00000000-0005-0000-0000-0000CB000000}"/>
    <cellStyle name="Normal 6 6" xfId="207" xr:uid="{00000000-0005-0000-0000-0000CC000000}"/>
    <cellStyle name="Normal 6 7" xfId="208" xr:uid="{00000000-0005-0000-0000-0000CD000000}"/>
    <cellStyle name="Normal 6 8" xfId="209" xr:uid="{00000000-0005-0000-0000-0000CE000000}"/>
    <cellStyle name="Normal 6 9" xfId="210" xr:uid="{00000000-0005-0000-0000-0000CF000000}"/>
    <cellStyle name="Normal 7" xfId="211" xr:uid="{00000000-0005-0000-0000-0000D0000000}"/>
    <cellStyle name="Normal 7 2" xfId="212" xr:uid="{00000000-0005-0000-0000-0000D1000000}"/>
    <cellStyle name="Normal 7 3" xfId="213" xr:uid="{00000000-0005-0000-0000-0000D2000000}"/>
    <cellStyle name="Normal 8" xfId="214" xr:uid="{00000000-0005-0000-0000-0000D3000000}"/>
    <cellStyle name="Normal 8 2" xfId="215" xr:uid="{00000000-0005-0000-0000-0000D4000000}"/>
    <cellStyle name="Normal 9" xfId="216" xr:uid="{00000000-0005-0000-0000-0000D5000000}"/>
    <cellStyle name="Normal 9 2" xfId="217" xr:uid="{00000000-0005-0000-0000-0000D6000000}"/>
    <cellStyle name="Note 2" xfId="218" xr:uid="{00000000-0005-0000-0000-0000D7000000}"/>
    <cellStyle name="Output" xfId="12" builtinId="21" customBuiltin="1"/>
    <cellStyle name="Percent" xfId="1" builtinId="5"/>
    <cellStyle name="Percent 2" xfId="219" xr:uid="{00000000-0005-0000-0000-0000DA000000}"/>
    <cellStyle name="Percent 2 2" xfId="220" xr:uid="{00000000-0005-0000-0000-0000DB000000}"/>
    <cellStyle name="Percent 2 3" xfId="221" xr:uid="{00000000-0005-0000-0000-0000DC000000}"/>
    <cellStyle name="Percent 3" xfId="222" xr:uid="{00000000-0005-0000-0000-0000DD000000}"/>
    <cellStyle name="Percent 3 2" xfId="223" xr:uid="{00000000-0005-0000-0000-0000DE000000}"/>
    <cellStyle name="Percent 3 3" xfId="224" xr:uid="{00000000-0005-0000-0000-0000DF000000}"/>
    <cellStyle name="Percent 4" xfId="225" xr:uid="{00000000-0005-0000-0000-0000E0000000}"/>
    <cellStyle name="Percent 4 2" xfId="226" xr:uid="{00000000-0005-0000-0000-0000E1000000}"/>
    <cellStyle name="Percent 5" xfId="227" xr:uid="{00000000-0005-0000-0000-0000E2000000}"/>
    <cellStyle name="Percent 6" xfId="228" xr:uid="{00000000-0005-0000-0000-0000E3000000}"/>
    <cellStyle name="ponsored Aliens" xfId="229" xr:uid="{00000000-0005-0000-0000-0000E4000000}"/>
    <cellStyle name="Table Data" xfId="230" xr:uid="{00000000-0005-0000-0000-0000E5000000}"/>
    <cellStyle name="Title 2" xfId="231" xr:uid="{00000000-0005-0000-0000-0000E6000000}"/>
    <cellStyle name="Total" xfId="18" builtinId="25" customBuiltin="1"/>
    <cellStyle name="Warning Text" xfId="16" builtinId="11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166" formatCode="#,##0.0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33" formatCode="_(* #,##0_);_(* \(#,##0\);_(* &quot;-&quot;_);_(@_)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14" formatCode="0.00%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33" formatCode="_(* #,##0_);_(* \(#,##0\);_(* &quot;-&quot;_);_(@_)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168" formatCode="_(* #,##0.0_);_(* \(#,##0.0\);_(* &quot;-&quot;??_);_(@_)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168" formatCode="_(* #,##0.0_);_(* \(#,##0.0\);_(* &quot;-&quot;??_);_(@_)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167" formatCode="0.0000%"/>
      <alignment horizontal="right" vertical="bottom" textRotation="0" wrapText="0" indent="0" justifyLastLine="0" shrinkToFit="0" readingOrder="0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167" formatCode="0.0000%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35" formatCode="_(* #,##0.00_);_(* \(#,##0.00\);_(* &quot;-&quot;??_);_(@_)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35" formatCode="_(* #,##0.00_);_(* \(#,##0.00\);_(* &quot;-&quot;??_);_(@_)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numFmt numFmtId="166" formatCode="#,##0.0"/>
      <border diagonalUp="0" diagonalDown="0" outline="0">
        <left/>
        <right/>
        <top style="thick">
          <color auto="1"/>
        </top>
        <bottom style="thick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166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family val="2"/>
        <scheme val="none"/>
      </font>
      <border diagonalUp="0" diagonalDown="0" outline="0">
        <left style="medium">
          <color indexed="64"/>
        </left>
        <right/>
        <top style="thick">
          <color indexed="64"/>
        </top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" formatCode="#,##0"/>
      <border diagonalUp="0" diagonalDown="0">
        <left style="medium">
          <color indexed="64"/>
        </left>
        <right/>
        <top/>
        <bottom/>
        <vertical/>
        <horizontal/>
      </border>
    </dxf>
    <dxf>
      <border>
        <top style="thick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</dxf>
    <dxf>
      <border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ource Sans Pro"/>
        <scheme val="none"/>
      </font>
      <fill>
        <patternFill patternType="solid">
          <fgColor indexed="64"/>
          <bgColor rgb="FF0066BA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F6DC6B"/>
      <color rgb="FF0066BA"/>
      <color rgb="FF40B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E20AAD-8CBF-4CCF-AF8B-EEDDC9DA24C4}" name="TableFall_FON_Calculations" displayName="TableFall_FON_Calculations" ref="B6:K79" totalsRowCount="1" headerRowDxfId="24" dataDxfId="22" headerRowBorderDxfId="23" tableBorderDxfId="21" totalsRowBorderDxfId="20">
  <autoFilter ref="B6:K78" xr:uid="{3CD78F24-1EF4-4B46-A31A-8E73A1064568}"/>
  <tableColumns count="10">
    <tableColumn id="1" xr3:uid="{48B7194E-72EE-4769-AED0-EF35646CD5BB}" name="District" totalsRowLabel="Statewide Total" dataDxfId="19" totalsRowDxfId="18"/>
    <tableColumn id="2" xr3:uid="{DFC4E0D6-CB1F-40AF-B324-98F9C569F701}" name="Base FON:_x000a_2024-25 Fall 2025 R1 FON_x000a_(a)" totalsRowFunction="sum" dataDxfId="17" totalsRowDxfId="16"/>
    <tableColumn id="3" xr3:uid="{64ADE970-5847-43A3-ABA1-0AF0955FF3A6}" name="Base FTES: _x000a_2024-25 R1 Funded Credit FTES_x000a_(b)" totalsRowFunction="sum" dataDxfId="15" totalsRowDxfId="14" dataCellStyle="Comma"/>
    <tableColumn id="4" xr3:uid="{DC0171A0-C243-4419-8B02-D6BA6ACBD32D}" name="Funded Credit FTES_x000a_2025-26 P1 _x000a_(c )" totalsRowFunction="sum" dataDxfId="13" totalsRowDxfId="12" dataCellStyle="Comma"/>
    <tableColumn id="5" xr3:uid="{33DF7DA4-4A09-420C-8215-310EEDD05878}" name="2025-26 P1_x000a_Deficit Percentage_x000a_(d)" totalsRowLabel="7.1165%" dataDxfId="11" totalsRowDxfId="10" dataCellStyle="Percent"/>
    <tableColumn id="6" xr3:uid="{7C61F9CB-32F7-4D59-88DE-B8EF84AA9D44}" name="Funded Credit FTES adjusted by Deficit Percentage_x000a_(e = c*(1-d))" totalsRowFunction="sum" dataDxfId="9" totalsRowDxfId="8" dataCellStyle="Comma">
      <calculatedColumnFormula>TableFall_FON_Calculations[[#This Row],[Funded Credit FTES
2025-26 P1 
(c )]]*(1-TableFall_FON_Calculations[[#This Row],[2025-26 P1
Deficit Percentage
(d)]])</calculatedColumnFormula>
    </tableColumn>
    <tableColumn id="7" xr3:uid="{1FE18A32-9485-4BFF-AEFA-23B52A558B28}" name="Change in FTES _x000a_Growth (Decline)_x000a_(f = e-b)" totalsRowFunction="sum" dataDxfId="7" totalsRowDxfId="6" dataCellStyle="Comma [0]">
      <calculatedColumnFormula>G7-D7</calculatedColumnFormula>
    </tableColumn>
    <tableColumn id="8" xr3:uid="{086CF803-36D5-4629-9885-BDBBCF8A23AC}" name="Percent Change _x000a_Change in FTES/Base Credit FTES_x000a_(g = f/b)" totalsRowFunction="custom" dataDxfId="5" totalsRowDxfId="4" dataCellStyle="Percent">
      <calculatedColumnFormula>H7/D7</calculatedColumnFormula>
      <totalsRowFormula>H79/D79</totalsRowFormula>
    </tableColumn>
    <tableColumn id="9" xr3:uid="{89D5D2B6-048C-42AC-B2B3-2E0FF3BE2F8E}" name="FTES Adjustment (rounded)_x000a_(h = a*g) " totalsRowFunction="sum" dataDxfId="3" totalsRowDxfId="2">
      <calculatedColumnFormula>IF(C7*I7&gt;=0,ROUNDDOWN(C7*I7,0),ROUNDUP(C7*I7,0))</calculatedColumnFormula>
    </tableColumn>
    <tableColumn id="12" xr3:uid="{E51B2B15-142D-48E4-9832-1B996B398EEB}" name="Fall 2026 Estimated P1 FON_x000a_(i =  a+ h)" totalsRowFunction="sum" dataDxfId="1" totalsRowDxfId="0">
      <calculatedColumnFormula>TableFall_FON_Calculations[[#This Row],[Base FON:
2024-25 Fall 2025 R1 FON
(a)]]+TableFall_FON_Calculations[[#This Row],[FTES Adjustment (rounded)
(h = a*g) 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23D7-0BE1-4A9C-BCC3-369D5785F66D}">
  <sheetPr>
    <pageSetUpPr fitToPage="1"/>
  </sheetPr>
  <dimension ref="A1:C12"/>
  <sheetViews>
    <sheetView showGridLines="0" tabSelected="1" workbookViewId="0">
      <selection activeCell="B4" sqref="B4"/>
    </sheetView>
  </sheetViews>
  <sheetFormatPr defaultColWidth="8.85546875" defaultRowHeight="15"/>
  <cols>
    <col min="1" max="1" width="5.140625" style="3" customWidth="1"/>
    <col min="2" max="2" width="26.7109375" style="1" customWidth="1"/>
    <col min="3" max="3" width="84" style="4" bestFit="1" customWidth="1"/>
    <col min="4" max="4" width="52.85546875" style="3" customWidth="1"/>
    <col min="5" max="16384" width="8.85546875" style="3"/>
  </cols>
  <sheetData>
    <row r="1" spans="1:3" ht="26.1" customHeight="1">
      <c r="A1" s="32" t="s">
        <v>90</v>
      </c>
      <c r="B1" s="13"/>
    </row>
    <row r="2" spans="1:3" ht="26.1" customHeight="1">
      <c r="A2" s="32" t="s">
        <v>91</v>
      </c>
      <c r="B2" s="14"/>
      <c r="C2" s="14"/>
    </row>
    <row r="3" spans="1:3" ht="26.1" customHeight="1" thickBot="1">
      <c r="A3" s="32" t="s">
        <v>87</v>
      </c>
      <c r="B3" s="7"/>
    </row>
    <row r="4" spans="1:3" s="5" customFormat="1" ht="20.100000000000001" customHeight="1" thickBot="1">
      <c r="B4" s="70" t="s">
        <v>104</v>
      </c>
      <c r="C4" s="71" t="s">
        <v>88</v>
      </c>
    </row>
    <row r="5" spans="1:3" ht="30" customHeight="1">
      <c r="B5" s="112" t="s">
        <v>76</v>
      </c>
      <c r="C5" s="67" t="s">
        <v>170</v>
      </c>
    </row>
    <row r="6" spans="1:3" ht="30" customHeight="1">
      <c r="B6" s="112" t="s">
        <v>139</v>
      </c>
      <c r="C6" s="67" t="s">
        <v>138</v>
      </c>
    </row>
    <row r="7" spans="1:3" ht="30" customHeight="1">
      <c r="B7" s="112" t="s">
        <v>140</v>
      </c>
      <c r="C7" s="67" t="s">
        <v>102</v>
      </c>
    </row>
    <row r="8" spans="1:3" ht="30" customHeight="1">
      <c r="B8" s="112" t="s">
        <v>105</v>
      </c>
      <c r="C8" s="67" t="s">
        <v>166</v>
      </c>
    </row>
    <row r="9" spans="1:3" ht="30" customHeight="1">
      <c r="B9" s="68" t="s">
        <v>101</v>
      </c>
      <c r="C9" s="69"/>
    </row>
    <row r="10" spans="1:3" ht="20.100000000000001" customHeight="1">
      <c r="C10" s="8"/>
    </row>
    <row r="11" spans="1:3">
      <c r="C11" s="8"/>
    </row>
    <row r="12" spans="1:3">
      <c r="C12" s="8"/>
    </row>
  </sheetData>
  <hyperlinks>
    <hyperlink ref="B5" location="Definitions!B5" display="Definitions" xr:uid="{372B82ED-CA9A-4C2A-A686-B05AB630ED9C}"/>
    <hyperlink ref="B6" location="'Fall 2026 P1 FON Calculation'!B6" display="Fall 2026 P1 FON Calculation" xr:uid="{7B0F8570-1BC8-4E6A-91D8-ED61A1C658E0}"/>
    <hyperlink ref="B7" location="'Fall 2026 Estimated P1 FON'!B4" display="Fall 2026 Estimated P1 FON" xr:uid="{0A7FD391-6DFC-48E6-B556-09EE9C013BB1}"/>
    <hyperlink ref="B8" location="'FON Estimator'!C5" display="FON Estimator" xr:uid="{F3FF5366-C30C-489A-A8E8-BFC2CCF199EC}"/>
  </hyperlink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0DA51-5B76-4C37-9FCE-3FCF93DE0A67}">
  <sheetPr>
    <pageSetUpPr fitToPage="1"/>
  </sheetPr>
  <dimension ref="A1:D17"/>
  <sheetViews>
    <sheetView showGridLines="0" workbookViewId="0">
      <selection activeCell="B5" sqref="B5"/>
    </sheetView>
  </sheetViews>
  <sheetFormatPr defaultColWidth="8.85546875" defaultRowHeight="15"/>
  <cols>
    <col min="1" max="1" width="3.5703125" style="11" customWidth="1"/>
    <col min="2" max="2" width="26.7109375" style="1" customWidth="1"/>
    <col min="3" max="3" width="90.42578125" style="60" customWidth="1"/>
    <col min="4" max="4" width="69.140625" style="60" customWidth="1"/>
    <col min="5" max="5" width="52.85546875" style="11" customWidth="1"/>
    <col min="6" max="16384" width="8.85546875" style="11"/>
  </cols>
  <sheetData>
    <row r="1" spans="1:4" customFormat="1" ht="25.35" customHeight="1">
      <c r="A1" s="32" t="s">
        <v>90</v>
      </c>
      <c r="B1" s="33"/>
      <c r="C1" s="33"/>
    </row>
    <row r="2" spans="1:4" customFormat="1" ht="25.35" customHeight="1">
      <c r="A2" s="32" t="s">
        <v>91</v>
      </c>
    </row>
    <row r="3" spans="1:4" customFormat="1" ht="25.35" customHeight="1">
      <c r="A3" s="32" t="s">
        <v>141</v>
      </c>
    </row>
    <row r="4" spans="1:4" ht="5.85" customHeight="1" thickBot="1">
      <c r="B4" s="59"/>
    </row>
    <row r="5" spans="1:4" s="61" customFormat="1" ht="40.35" customHeight="1" thickBot="1">
      <c r="B5" s="111" t="s">
        <v>100</v>
      </c>
      <c r="C5" s="62" t="s">
        <v>74</v>
      </c>
      <c r="D5" s="63" t="s">
        <v>73</v>
      </c>
    </row>
    <row r="6" spans="1:4" ht="45" customHeight="1">
      <c r="B6" s="112" t="s">
        <v>77</v>
      </c>
      <c r="C6" s="64" t="s">
        <v>86</v>
      </c>
      <c r="D6" s="64" t="s">
        <v>142</v>
      </c>
    </row>
    <row r="7" spans="1:4" ht="45" customHeight="1">
      <c r="B7" s="112" t="s">
        <v>80</v>
      </c>
      <c r="C7" s="64" t="s">
        <v>103</v>
      </c>
      <c r="D7" s="64" t="s">
        <v>143</v>
      </c>
    </row>
    <row r="8" spans="1:4" ht="45" customHeight="1">
      <c r="B8" s="112" t="s">
        <v>168</v>
      </c>
      <c r="C8" s="64" t="s">
        <v>83</v>
      </c>
      <c r="D8" s="64" t="s">
        <v>144</v>
      </c>
    </row>
    <row r="9" spans="1:4" ht="45" customHeight="1">
      <c r="B9" s="112" t="s">
        <v>81</v>
      </c>
      <c r="C9" s="64" t="s">
        <v>84</v>
      </c>
      <c r="D9" s="65" t="s">
        <v>145</v>
      </c>
    </row>
    <row r="10" spans="1:4" ht="63">
      <c r="B10" s="112" t="s">
        <v>82</v>
      </c>
      <c r="C10" s="64" t="s">
        <v>97</v>
      </c>
      <c r="D10" s="64" t="s">
        <v>146</v>
      </c>
    </row>
    <row r="11" spans="1:4" ht="47.25">
      <c r="B11" s="112" t="s">
        <v>78</v>
      </c>
      <c r="C11" s="64" t="s">
        <v>98</v>
      </c>
      <c r="D11" s="64" t="s">
        <v>146</v>
      </c>
    </row>
    <row r="12" spans="1:4" ht="45" customHeight="1">
      <c r="B12" s="112" t="s">
        <v>79</v>
      </c>
      <c r="C12" s="64" t="s">
        <v>132</v>
      </c>
      <c r="D12" s="64" t="s">
        <v>146</v>
      </c>
    </row>
    <row r="13" spans="1:4" ht="45" customHeight="1">
      <c r="B13" s="112" t="s">
        <v>75</v>
      </c>
      <c r="C13" s="64" t="s">
        <v>99</v>
      </c>
      <c r="D13" s="64" t="s">
        <v>146</v>
      </c>
    </row>
    <row r="14" spans="1:4" ht="45" customHeight="1">
      <c r="B14" s="113" t="s">
        <v>148</v>
      </c>
      <c r="C14" s="64" t="s">
        <v>147</v>
      </c>
      <c r="D14" s="64" t="s">
        <v>146</v>
      </c>
    </row>
    <row r="15" spans="1:4">
      <c r="C15" s="66"/>
      <c r="D15" s="66"/>
    </row>
    <row r="16" spans="1:4">
      <c r="C16" s="66"/>
      <c r="D16" s="66"/>
    </row>
    <row r="17" spans="3:4">
      <c r="C17" s="66"/>
      <c r="D17" s="66"/>
    </row>
  </sheetData>
  <hyperlinks>
    <hyperlink ref="B6" location="'Fall 2026 P1 FON Calculation'!C6" display="Base FON " xr:uid="{550F2350-5526-4377-8A1F-36F908E1EF86}"/>
    <hyperlink ref="B7" location="'Fall 2026 P1 FON Calculation'!D6" display="Base Credit FTES" xr:uid="{E4563C3E-7A3F-4435-B7D7-8D3020D89B35}"/>
    <hyperlink ref="B8" location="'Fall 2026 P1 FON Calculation'!E6" display="Projected Funded Credit FTES" xr:uid="{ECCEFA30-4760-4B93-B8A9-82BC87527386}"/>
    <hyperlink ref="B9" location="'Fall 2026 P1 FON Calculation'!F6" display="Deficit Factor" xr:uid="{AFB24492-D7E9-4C80-AFDA-EB5EF259CC76}"/>
    <hyperlink ref="B10" location="'Fall 2026 P1 FON Calculation'!G6" display="Funded Credit FTEs adjusted for Deficit Factor" xr:uid="{8D95FA2B-9B04-41C3-8525-873F068D87A5}"/>
    <hyperlink ref="B11" location="'Fall 2026 P1 FON Calculation'!H6" display="Change in FTES Growth/(Decline)" xr:uid="{B5600F8C-E552-4F60-BD4F-27FA0916DA91}"/>
    <hyperlink ref="B12" location="'Fall 2026 P1 FON Calculation'!I6" display="Percent Change (Change in FTES/Base Credit FTES)" xr:uid="{65E36B22-32DB-43E4-B00A-A6314887853A}"/>
    <hyperlink ref="B13" location="'Fall 2026 P1 FON Calculation'!J6" display="FTES Adjustment" xr:uid="{7CFD88DC-BA28-40FB-A5DB-B3ADDEFC0982}"/>
    <hyperlink ref="B14" location="'Fall 2026 P1 FON Calculation'!K6" display="'Fall 2026 P1 FON Calculation'!K6" xr:uid="{0FE6CCCE-EA66-44B0-9A60-01ECA7D4BD86}"/>
  </hyperlinks>
  <pageMargins left="0.7" right="0.7" top="0.75" bottom="0.75" header="0.3" footer="0.3"/>
  <pageSetup scale="64" fitToHeight="0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7CA7-280D-463E-9C88-E73541860A93}">
  <dimension ref="A1:K84"/>
  <sheetViews>
    <sheetView showGridLines="0" workbookViewId="0">
      <selection activeCell="B6" sqref="B6"/>
    </sheetView>
  </sheetViews>
  <sheetFormatPr defaultColWidth="8.85546875" defaultRowHeight="15"/>
  <cols>
    <col min="1" max="1" width="3.5703125" style="11" customWidth="1"/>
    <col min="2" max="6" width="20.5703125" style="11" customWidth="1"/>
    <col min="7" max="7" width="20.140625" style="11" customWidth="1"/>
    <col min="8" max="8" width="17.5703125" style="11" customWidth="1"/>
    <col min="9" max="9" width="20.5703125" style="36" customWidth="1"/>
    <col min="10" max="10" width="18.140625" style="11" customWidth="1"/>
    <col min="11" max="11" width="20.5703125" style="11" customWidth="1"/>
    <col min="12" max="16384" width="8.85546875" style="11"/>
  </cols>
  <sheetData>
    <row r="1" spans="1:11" customFormat="1" ht="25.35" customHeight="1">
      <c r="A1" s="32" t="s">
        <v>90</v>
      </c>
      <c r="B1" s="33"/>
      <c r="C1" s="33"/>
    </row>
    <row r="2" spans="1:11" customFormat="1" ht="25.35" customHeight="1">
      <c r="A2" s="32" t="s">
        <v>91</v>
      </c>
    </row>
    <row r="3" spans="1:11" customFormat="1" ht="25.35" customHeight="1">
      <c r="A3" s="32" t="s">
        <v>149</v>
      </c>
    </row>
    <row r="4" spans="1:11" ht="9" customHeight="1">
      <c r="B4" s="34"/>
      <c r="F4" s="35"/>
    </row>
    <row r="5" spans="1:11" s="15" customFormat="1" ht="42.6" customHeight="1" thickBot="1">
      <c r="B5" s="15" t="s">
        <v>92</v>
      </c>
      <c r="C5" s="106" t="s">
        <v>155</v>
      </c>
      <c r="D5" s="106" t="s">
        <v>156</v>
      </c>
      <c r="E5" s="107" t="s">
        <v>152</v>
      </c>
      <c r="F5" s="107" t="s">
        <v>152</v>
      </c>
      <c r="G5" s="104" t="s">
        <v>93</v>
      </c>
      <c r="H5" s="104" t="s">
        <v>93</v>
      </c>
      <c r="I5" s="105" t="s">
        <v>93</v>
      </c>
      <c r="J5" s="104" t="s">
        <v>93</v>
      </c>
      <c r="K5" s="104" t="s">
        <v>93</v>
      </c>
    </row>
    <row r="6" spans="1:11" s="6" customFormat="1" ht="82.5" customHeight="1" thickTop="1" thickBot="1">
      <c r="B6" s="37" t="s">
        <v>72</v>
      </c>
      <c r="C6" s="108" t="s">
        <v>150</v>
      </c>
      <c r="D6" s="108" t="s">
        <v>151</v>
      </c>
      <c r="E6" s="108" t="s">
        <v>169</v>
      </c>
      <c r="F6" s="108" t="s">
        <v>153</v>
      </c>
      <c r="G6" s="108" t="s">
        <v>94</v>
      </c>
      <c r="H6" s="108" t="s">
        <v>95</v>
      </c>
      <c r="I6" s="109" t="s">
        <v>96</v>
      </c>
      <c r="J6" s="108" t="s">
        <v>167</v>
      </c>
      <c r="K6" s="110" t="s">
        <v>154</v>
      </c>
    </row>
    <row r="7" spans="1:11" ht="15.75" thickTop="1">
      <c r="B7" s="38" t="s">
        <v>0</v>
      </c>
      <c r="C7" s="39">
        <v>140.6241</v>
      </c>
      <c r="D7" s="40">
        <v>8114.72</v>
      </c>
      <c r="E7" s="72">
        <v>7661.1533333333336</v>
      </c>
      <c r="F7" s="74">
        <v>3.0363760697156739E-2</v>
      </c>
      <c r="G7" s="42">
        <f>TableFall_FON_Calculations[[#This Row],[Funded Credit FTES
2025-26 P1 
(c )]]*(1-TableFall_FON_Calculations[[#This Row],[2025-26 P1
Deficit Percentage
(d)]])</f>
        <v>7428.5319068557756</v>
      </c>
      <c r="H7" s="43">
        <f>G7-D7</f>
        <v>-686.18809314422469</v>
      </c>
      <c r="I7" s="44">
        <f t="shared" ref="I7:I38" si="0">H7/D7</f>
        <v>-8.4560908219165259E-2</v>
      </c>
      <c r="J7" s="45">
        <f t="shared" ref="J7:J38" si="1">IF(C7*I7&gt;=0,ROUNDDOWN(C7*I7,0),ROUNDUP(C7*I7,0))</f>
        <v>-12</v>
      </c>
      <c r="K7" s="46">
        <f>TableFall_FON_Calculations[[#This Row],[Base FON:
2024-25 Fall 2025 R1 FON
(a)]]+TableFall_FON_Calculations[[#This Row],[FTES Adjustment (rounded)
(h = a*g) ]]</f>
        <v>128.6241</v>
      </c>
    </row>
    <row r="8" spans="1:11">
      <c r="B8" s="2" t="s">
        <v>1</v>
      </c>
      <c r="C8" s="10">
        <v>169.36279999999999</v>
      </c>
      <c r="D8" s="41">
        <v>11018.224414633092</v>
      </c>
      <c r="E8" s="72">
        <v>10744.843663731699</v>
      </c>
      <c r="F8" s="74">
        <v>3.0363759146610381E-2</v>
      </c>
      <c r="G8" s="47">
        <f>TableFall_FON_Calculations[[#This Row],[Funded Credit FTES
2025-26 P1 
(c )]]*(1-TableFall_FON_Calculations[[#This Row],[2025-26 P1
Deficit Percentage
(d)]])</f>
        <v>10418.589818658167</v>
      </c>
      <c r="H8" s="48">
        <f t="shared" ref="H8:H38" si="2">G8-D8</f>
        <v>-599.63459597492511</v>
      </c>
      <c r="I8" s="49">
        <f t="shared" si="0"/>
        <v>-5.442207141638556E-2</v>
      </c>
      <c r="J8" s="9">
        <f t="shared" si="1"/>
        <v>-10</v>
      </c>
      <c r="K8" s="50">
        <f>TableFall_FON_Calculations[[#This Row],[Base FON:
2024-25 Fall 2025 R1 FON
(a)]]+TableFall_FON_Calculations[[#This Row],[FTES Adjustment (rounded)
(h = a*g) ]]</f>
        <v>159.36279999999999</v>
      </c>
    </row>
    <row r="9" spans="1:11">
      <c r="B9" s="38" t="s">
        <v>2</v>
      </c>
      <c r="C9" s="39">
        <v>30.333500000000001</v>
      </c>
      <c r="D9" s="40">
        <v>2630.7126557643574</v>
      </c>
      <c r="E9" s="72">
        <v>2675.0363223937175</v>
      </c>
      <c r="F9" s="74">
        <v>3.0363760546103458E-2</v>
      </c>
      <c r="G9" s="42">
        <f>TableFall_FON_Calculations[[#This Row],[Funded Credit FTES
2025-26 P1 
(c )]]*(1-TableFall_FON_Calculations[[#This Row],[2025-26 P1
Deficit Percentage
(d)]])</f>
        <v>2593.8121600484255</v>
      </c>
      <c r="H9" s="43">
        <f t="shared" si="2"/>
        <v>-36.900495715931811</v>
      </c>
      <c r="I9" s="44">
        <f t="shared" si="0"/>
        <v>-1.4026805867632974E-2</v>
      </c>
      <c r="J9" s="51">
        <f t="shared" si="1"/>
        <v>-1</v>
      </c>
      <c r="K9" s="50">
        <f>TableFall_FON_Calculations[[#This Row],[Base FON:
2024-25 Fall 2025 R1 FON
(a)]]+TableFall_FON_Calculations[[#This Row],[FTES Adjustment (rounded)
(h = a*g) ]]</f>
        <v>29.333500000000001</v>
      </c>
    </row>
    <row r="10" spans="1:11">
      <c r="B10" s="2" t="s">
        <v>3</v>
      </c>
      <c r="C10" s="10">
        <v>169.45410000000001</v>
      </c>
      <c r="D10" s="41">
        <v>9162</v>
      </c>
      <c r="E10" s="72">
        <v>9397.4013448491551</v>
      </c>
      <c r="F10" s="74">
        <v>3.0363758558224929E-2</v>
      </c>
      <c r="G10" s="47">
        <f>TableFall_FON_Calculations[[#This Row],[Funded Credit FTES
2025-26 P1 
(c )]]*(1-TableFall_FON_Calculations[[#This Row],[2025-26 P1
Deficit Percentage
(d)]])</f>
        <v>9112.0609193394175</v>
      </c>
      <c r="H10" s="48">
        <f t="shared" si="2"/>
        <v>-49.939080660582476</v>
      </c>
      <c r="I10" s="49">
        <f t="shared" si="0"/>
        <v>-5.4506745973130844E-3</v>
      </c>
      <c r="J10" s="9">
        <f t="shared" si="1"/>
        <v>-1</v>
      </c>
      <c r="K10" s="50">
        <f>TableFall_FON_Calculations[[#This Row],[Base FON:
2024-25 Fall 2025 R1 FON
(a)]]+TableFall_FON_Calculations[[#This Row],[FTES Adjustment (rounded)
(h = a*g) ]]</f>
        <v>168.45410000000001</v>
      </c>
    </row>
    <row r="11" spans="1:11">
      <c r="B11" s="38" t="s">
        <v>4</v>
      </c>
      <c r="C11" s="39">
        <v>185.76750000000001</v>
      </c>
      <c r="D11" s="40">
        <v>9490.0400000000009</v>
      </c>
      <c r="E11" s="72">
        <v>9490.0400000000009</v>
      </c>
      <c r="F11" s="74">
        <v>3.0363758045019562E-2</v>
      </c>
      <c r="G11" s="42">
        <f>TableFall_FON_Calculations[[#This Row],[Funded Credit FTES
2025-26 P1 
(c )]]*(1-TableFall_FON_Calculations[[#This Row],[2025-26 P1
Deficit Percentage
(d)]])</f>
        <v>9201.8867216024428</v>
      </c>
      <c r="H11" s="43">
        <f t="shared" si="2"/>
        <v>-288.1532783975581</v>
      </c>
      <c r="I11" s="44">
        <f t="shared" si="0"/>
        <v>-3.0363758045019628E-2</v>
      </c>
      <c r="J11" s="51">
        <f t="shared" si="1"/>
        <v>-6</v>
      </c>
      <c r="K11" s="50">
        <f>TableFall_FON_Calculations[[#This Row],[Base FON:
2024-25 Fall 2025 R1 FON
(a)]]+TableFall_FON_Calculations[[#This Row],[FTES Adjustment (rounded)
(h = a*g) ]]</f>
        <v>179.76750000000001</v>
      </c>
    </row>
    <row r="12" spans="1:11">
      <c r="B12" s="2" t="s">
        <v>5</v>
      </c>
      <c r="C12" s="10">
        <v>301.9939</v>
      </c>
      <c r="D12" s="41">
        <v>16256.233333333334</v>
      </c>
      <c r="E12" s="72">
        <v>14845.560000000001</v>
      </c>
      <c r="F12" s="74">
        <v>3.0363760835199094E-2</v>
      </c>
      <c r="G12" s="47">
        <f>TableFall_FON_Calculations[[#This Row],[Funded Credit FTES
2025-26 P1 
(c )]]*(1-TableFall_FON_Calculations[[#This Row],[2025-26 P1
Deficit Percentage
(d)]])</f>
        <v>14394.792966695402</v>
      </c>
      <c r="H12" s="48">
        <f t="shared" si="2"/>
        <v>-1861.4403666379312</v>
      </c>
      <c r="I12" s="49">
        <f t="shared" si="0"/>
        <v>-0.11450625298426642</v>
      </c>
      <c r="J12" s="9">
        <f t="shared" si="1"/>
        <v>-35</v>
      </c>
      <c r="K12" s="50">
        <f>TableFall_FON_Calculations[[#This Row],[Base FON:
2024-25 Fall 2025 R1 FON
(a)]]+TableFall_FON_Calculations[[#This Row],[FTES Adjustment (rounded)
(h = a*g) ]]</f>
        <v>266.9939</v>
      </c>
    </row>
    <row r="13" spans="1:11">
      <c r="B13" s="38" t="s">
        <v>6</v>
      </c>
      <c r="C13" s="39">
        <v>276.96730000000002</v>
      </c>
      <c r="D13" s="40">
        <v>14482.226666666667</v>
      </c>
      <c r="E13" s="72">
        <v>15778.529407433911</v>
      </c>
      <c r="F13" s="74">
        <v>3.03637587847706E-2</v>
      </c>
      <c r="G13" s="42">
        <f>TableFall_FON_Calculations[[#This Row],[Funded Credit FTES
2025-26 P1 
(c )]]*(1-TableFall_FON_Calculations[[#This Row],[2025-26 P1
Deficit Percentage
(d)]])</f>
        <v>15299.433946528177</v>
      </c>
      <c r="H13" s="43">
        <f t="shared" si="2"/>
        <v>817.20727986150996</v>
      </c>
      <c r="I13" s="44">
        <f t="shared" si="0"/>
        <v>5.6428289562851057E-2</v>
      </c>
      <c r="J13" s="51">
        <f t="shared" si="1"/>
        <v>15</v>
      </c>
      <c r="K13" s="50">
        <f>TableFall_FON_Calculations[[#This Row],[Base FON:
2024-25 Fall 2025 R1 FON
(a)]]+TableFall_FON_Calculations[[#This Row],[FTES Adjustment (rounded)
(h = a*g) ]]</f>
        <v>291.96730000000002</v>
      </c>
    </row>
    <row r="14" spans="1:11">
      <c r="B14" s="2" t="s">
        <v>7</v>
      </c>
      <c r="C14" s="10">
        <v>268.58510000000001</v>
      </c>
      <c r="D14" s="41">
        <v>16557.869566946396</v>
      </c>
      <c r="E14" s="72">
        <v>16381.721849547164</v>
      </c>
      <c r="F14" s="74">
        <v>3.0363762302699882E-2</v>
      </c>
      <c r="G14" s="47">
        <f>TableFall_FON_Calculations[[#This Row],[Funded Credit FTES
2025-26 P1 
(c )]]*(1-TableFall_FON_Calculations[[#This Row],[2025-26 P1
Deficit Percentage
(d)]])</f>
        <v>15884.311141198568</v>
      </c>
      <c r="H14" s="48">
        <f t="shared" si="2"/>
        <v>-673.55842574782764</v>
      </c>
      <c r="I14" s="49">
        <f t="shared" si="0"/>
        <v>-4.067905131300327E-2</v>
      </c>
      <c r="J14" s="9">
        <f t="shared" si="1"/>
        <v>-11</v>
      </c>
      <c r="K14" s="50">
        <f>TableFall_FON_Calculations[[#This Row],[Base FON:
2024-25 Fall 2025 R1 FON
(a)]]+TableFall_FON_Calculations[[#This Row],[FTES Adjustment (rounded)
(h = a*g) ]]</f>
        <v>257.58510000000001</v>
      </c>
    </row>
    <row r="15" spans="1:11">
      <c r="B15" s="38" t="s">
        <v>8</v>
      </c>
      <c r="C15" s="39">
        <v>168.0453</v>
      </c>
      <c r="D15" s="40">
        <v>10069.82</v>
      </c>
      <c r="E15" s="72">
        <v>9476.7333333333336</v>
      </c>
      <c r="F15" s="74">
        <v>3.0363758563263565E-2</v>
      </c>
      <c r="G15" s="42">
        <f>TableFall_FON_Calculations[[#This Row],[Funded Credit FTES
2025-26 P1 
(c )]]*(1-TableFall_FON_Calculations[[#This Row],[2025-26 P1
Deficit Percentage
(d)]])</f>
        <v>9188.9840904315679</v>
      </c>
      <c r="H15" s="43">
        <f t="shared" si="2"/>
        <v>-880.83590956843182</v>
      </c>
      <c r="I15" s="44">
        <f t="shared" si="0"/>
        <v>-8.747285547988265E-2</v>
      </c>
      <c r="J15" s="51">
        <f t="shared" si="1"/>
        <v>-15</v>
      </c>
      <c r="K15" s="50">
        <f>TableFall_FON_Calculations[[#This Row],[Base FON:
2024-25 Fall 2025 R1 FON
(a)]]+TableFall_FON_Calculations[[#This Row],[FTES Adjustment (rounded)
(h = a*g) ]]</f>
        <v>153.0453</v>
      </c>
    </row>
    <row r="16" spans="1:11">
      <c r="B16" s="2" t="s">
        <v>9</v>
      </c>
      <c r="C16" s="10">
        <v>408.86709999999999</v>
      </c>
      <c r="D16" s="41">
        <v>27366.666382327745</v>
      </c>
      <c r="E16" s="72">
        <v>25045.719999999998</v>
      </c>
      <c r="F16" s="74">
        <v>3.0363762910527448E-2</v>
      </c>
      <c r="G16" s="47">
        <f>TableFall_FON_Calculations[[#This Row],[Funded Credit FTES
2025-26 P1 
(c )]]*(1-TableFall_FON_Calculations[[#This Row],[2025-26 P1
Deficit Percentage
(d)]])</f>
        <v>24285.23769599654</v>
      </c>
      <c r="H16" s="48">
        <f t="shared" si="2"/>
        <v>-3081.4286863312045</v>
      </c>
      <c r="I16" s="49">
        <f t="shared" si="0"/>
        <v>-0.11259788252182089</v>
      </c>
      <c r="J16" s="9">
        <f t="shared" si="1"/>
        <v>-47</v>
      </c>
      <c r="K16" s="50">
        <f>TableFall_FON_Calculations[[#This Row],[Base FON:
2024-25 Fall 2025 R1 FON
(a)]]+TableFall_FON_Calculations[[#This Row],[FTES Adjustment (rounded)
(h = a*g) ]]</f>
        <v>361.86709999999999</v>
      </c>
    </row>
    <row r="17" spans="2:11">
      <c r="B17" s="38" t="s">
        <v>10</v>
      </c>
      <c r="C17" s="39">
        <v>33.951000000000001</v>
      </c>
      <c r="D17" s="40">
        <v>5961.69</v>
      </c>
      <c r="E17" s="72">
        <v>5796.4533333333329</v>
      </c>
      <c r="F17" s="74">
        <v>3.036375252552026E-2</v>
      </c>
      <c r="G17" s="42">
        <f>TableFall_FON_Calculations[[#This Row],[Funded Credit FTES
2025-26 P1 
(c )]]*(1-TableFall_FON_Calculations[[#This Row],[2025-26 P1
Deficit Percentage
(d)]])</f>
        <v>5620.4512587942727</v>
      </c>
      <c r="H17" s="43">
        <f t="shared" si="2"/>
        <v>-341.23874120572691</v>
      </c>
      <c r="I17" s="44">
        <f t="shared" si="0"/>
        <v>-5.7238591943849303E-2</v>
      </c>
      <c r="J17" s="51">
        <f t="shared" si="1"/>
        <v>-2</v>
      </c>
      <c r="K17" s="50">
        <f>TableFall_FON_Calculations[[#This Row],[Base FON:
2024-25 Fall 2025 R1 FON
(a)]]+TableFall_FON_Calculations[[#This Row],[FTES Adjustment (rounded)
(h = a*g) ]]</f>
        <v>31.951000000000001</v>
      </c>
    </row>
    <row r="18" spans="2:11">
      <c r="B18" s="2" t="s">
        <v>11</v>
      </c>
      <c r="C18" s="10">
        <v>369.01979999999998</v>
      </c>
      <c r="D18" s="41">
        <v>25547.403333333332</v>
      </c>
      <c r="E18" s="72">
        <v>24494.873333333333</v>
      </c>
      <c r="F18" s="74">
        <v>3.0363759922220956E-2</v>
      </c>
      <c r="G18" s="47">
        <f>TableFall_FON_Calculations[[#This Row],[Funded Credit FTES
2025-26 P1 
(c )]]*(1-TableFall_FON_Calculations[[#This Row],[2025-26 P1
Deficit Percentage
(d)]])</f>
        <v>23751.116880114787</v>
      </c>
      <c r="H18" s="48">
        <f t="shared" si="2"/>
        <v>-1796.2864532185449</v>
      </c>
      <c r="I18" s="49">
        <f t="shared" si="0"/>
        <v>-7.0311899404461781E-2</v>
      </c>
      <c r="J18" s="9">
        <f t="shared" si="1"/>
        <v>-26</v>
      </c>
      <c r="K18" s="50">
        <f>TableFall_FON_Calculations[[#This Row],[Base FON:
2024-25 Fall 2025 R1 FON
(a)]]+TableFall_FON_Calculations[[#This Row],[FTES Adjustment (rounded)
(h = a*g) ]]</f>
        <v>343.01979999999998</v>
      </c>
    </row>
    <row r="19" spans="2:11">
      <c r="B19" s="38" t="s">
        <v>12</v>
      </c>
      <c r="C19" s="39">
        <v>7.6952999999999996</v>
      </c>
      <c r="D19" s="40">
        <v>1345.8240319594288</v>
      </c>
      <c r="E19" s="72">
        <v>1224.0983755213294</v>
      </c>
      <c r="F19" s="74">
        <v>3.0363763767337071E-2</v>
      </c>
      <c r="G19" s="42">
        <f>TableFall_FON_Calculations[[#This Row],[Funded Credit FTES
2025-26 P1 
(c )]]*(1-TableFall_FON_Calculations[[#This Row],[2025-26 P1
Deficit Percentage
(d)]])</f>
        <v>1186.9301416190187</v>
      </c>
      <c r="H19" s="43">
        <f t="shared" si="2"/>
        <v>-158.89389034041005</v>
      </c>
      <c r="I19" s="44">
        <f t="shared" si="0"/>
        <v>-0.11806438774099709</v>
      </c>
      <c r="J19" s="51">
        <f t="shared" si="1"/>
        <v>-1</v>
      </c>
      <c r="K19" s="50">
        <f>TableFall_FON_Calculations[[#This Row],[Base FON:
2024-25 Fall 2025 R1 FON
(a)]]+TableFall_FON_Calculations[[#This Row],[FTES Adjustment (rounded)
(h = a*g) ]]</f>
        <v>6.6952999999999996</v>
      </c>
    </row>
    <row r="20" spans="2:11">
      <c r="B20" s="2" t="s">
        <v>13</v>
      </c>
      <c r="C20" s="10">
        <v>146.8176</v>
      </c>
      <c r="D20" s="41">
        <v>9227.3452943828015</v>
      </c>
      <c r="E20" s="72">
        <v>9030.5466666666671</v>
      </c>
      <c r="F20" s="74">
        <v>3.03637622261832E-2</v>
      </c>
      <c r="G20" s="47">
        <f>TableFall_FON_Calculations[[#This Row],[Funded Credit FTES
2025-26 P1 
(c )]]*(1-TableFall_FON_Calculations[[#This Row],[2025-26 P1
Deficit Percentage
(d)]])</f>
        <v>8756.345294907549</v>
      </c>
      <c r="H20" s="48">
        <f t="shared" si="2"/>
        <v>-470.99999947525248</v>
      </c>
      <c r="I20" s="49">
        <f t="shared" si="0"/>
        <v>-5.1043933487779677E-2</v>
      </c>
      <c r="J20" s="9">
        <f t="shared" si="1"/>
        <v>-8</v>
      </c>
      <c r="K20" s="50">
        <f>TableFall_FON_Calculations[[#This Row],[Base FON:
2024-25 Fall 2025 R1 FON
(a)]]+TableFall_FON_Calculations[[#This Row],[FTES Adjustment (rounded)
(h = a*g) ]]</f>
        <v>138.8176</v>
      </c>
    </row>
    <row r="21" spans="2:11">
      <c r="B21" s="38" t="s">
        <v>14</v>
      </c>
      <c r="C21" s="39">
        <v>340.95920000000001</v>
      </c>
      <c r="D21" s="40">
        <v>17886.37</v>
      </c>
      <c r="E21" s="72">
        <v>17069.02</v>
      </c>
      <c r="F21" s="74">
        <v>3.0363763161364909E-2</v>
      </c>
      <c r="G21" s="42">
        <f>TableFall_FON_Calculations[[#This Row],[Funded Credit FTES
2025-26 P1 
(c )]]*(1-TableFall_FON_Calculations[[#This Row],[2025-26 P1
Deficit Percentage
(d)]])</f>
        <v>16550.740319323399</v>
      </c>
      <c r="H21" s="43">
        <f t="shared" si="2"/>
        <v>-1335.6296806766004</v>
      </c>
      <c r="I21" s="44">
        <f t="shared" si="0"/>
        <v>-7.4673043254534069E-2</v>
      </c>
      <c r="J21" s="51">
        <f t="shared" si="1"/>
        <v>-26</v>
      </c>
      <c r="K21" s="50">
        <f>TableFall_FON_Calculations[[#This Row],[Base FON:
2024-25 Fall 2025 R1 FON
(a)]]+TableFall_FON_Calculations[[#This Row],[FTES Adjustment (rounded)
(h = a*g) ]]</f>
        <v>314.95920000000001</v>
      </c>
    </row>
    <row r="22" spans="2:11">
      <c r="B22" s="2" t="s">
        <v>15</v>
      </c>
      <c r="C22" s="10">
        <v>18.3188</v>
      </c>
      <c r="D22" s="41">
        <v>1671.9946232122074</v>
      </c>
      <c r="E22" s="72">
        <v>1683.9728206829739</v>
      </c>
      <c r="F22" s="74">
        <v>3.0363757286357984E-2</v>
      </c>
      <c r="G22" s="47">
        <f>TableFall_FON_Calculations[[#This Row],[Funded Credit FTES
2025-26 P1 
(c )]]*(1-TableFall_FON_Calculations[[#This Row],[2025-26 P1
Deficit Percentage
(d)]])</f>
        <v>1632.8410786789325</v>
      </c>
      <c r="H22" s="48">
        <f t="shared" si="2"/>
        <v>-39.153544533274953</v>
      </c>
      <c r="I22" s="49">
        <f t="shared" si="0"/>
        <v>-2.3417267011333943E-2</v>
      </c>
      <c r="J22" s="9">
        <f t="shared" si="1"/>
        <v>-1</v>
      </c>
      <c r="K22" s="50">
        <f>TableFall_FON_Calculations[[#This Row],[Base FON:
2024-25 Fall 2025 R1 FON
(a)]]+TableFall_FON_Calculations[[#This Row],[FTES Adjustment (rounded)
(h = a*g) ]]</f>
        <v>17.3188</v>
      </c>
    </row>
    <row r="23" spans="2:11">
      <c r="B23" s="38" t="s">
        <v>16</v>
      </c>
      <c r="C23" s="39">
        <v>370.55779999999999</v>
      </c>
      <c r="D23" s="40">
        <v>20933.68</v>
      </c>
      <c r="E23" s="72">
        <v>22008.238031091616</v>
      </c>
      <c r="F23" s="74">
        <v>0</v>
      </c>
      <c r="G23" s="42">
        <f>TableFall_FON_Calculations[[#This Row],[Funded Credit FTES
2025-26 P1 
(c )]]*(1-TableFall_FON_Calculations[[#This Row],[2025-26 P1
Deficit Percentage
(d)]])</f>
        <v>22008.238031091616</v>
      </c>
      <c r="H23" s="43">
        <f t="shared" si="2"/>
        <v>1074.5580310916157</v>
      </c>
      <c r="I23" s="44">
        <f t="shared" si="0"/>
        <v>5.1331539943842444E-2</v>
      </c>
      <c r="J23" s="51">
        <f t="shared" si="1"/>
        <v>19</v>
      </c>
      <c r="K23" s="50">
        <f>TableFall_FON_Calculations[[#This Row],[Base FON:
2024-25 Fall 2025 R1 FON
(a)]]+TableFall_FON_Calculations[[#This Row],[FTES Adjustment (rounded)
(h = a*g) ]]</f>
        <v>389.55779999999999</v>
      </c>
    </row>
    <row r="24" spans="2:11">
      <c r="B24" s="2" t="s">
        <v>17</v>
      </c>
      <c r="C24" s="10">
        <v>73.532399999999996</v>
      </c>
      <c r="D24" s="41">
        <v>4568.0951302577105</v>
      </c>
      <c r="E24" s="72">
        <v>4483.0817522334382</v>
      </c>
      <c r="F24" s="74">
        <v>3.0363759187305051E-2</v>
      </c>
      <c r="G24" s="47">
        <f>TableFall_FON_Calculations[[#This Row],[Funded Credit FTES
2025-26 P1 
(c )]]*(1-TableFall_FON_Calculations[[#This Row],[2025-26 P1
Deficit Percentage
(d)]])</f>
        <v>4346.9585374916205</v>
      </c>
      <c r="H24" s="48">
        <f t="shared" si="2"/>
        <v>-221.13659276608996</v>
      </c>
      <c r="I24" s="49">
        <f t="shared" si="0"/>
        <v>-4.840892898690892E-2</v>
      </c>
      <c r="J24" s="9">
        <f t="shared" si="1"/>
        <v>-4</v>
      </c>
      <c r="K24" s="50">
        <f>TableFall_FON_Calculations[[#This Row],[Base FON:
2024-25 Fall 2025 R1 FON
(a)]]+TableFall_FON_Calculations[[#This Row],[FTES Adjustment (rounded)
(h = a*g) ]]</f>
        <v>69.532399999999996</v>
      </c>
    </row>
    <row r="25" spans="2:11">
      <c r="B25" s="38" t="s">
        <v>18</v>
      </c>
      <c r="C25" s="39">
        <v>208.0789</v>
      </c>
      <c r="D25" s="40">
        <v>10529.478551555059</v>
      </c>
      <c r="E25" s="72">
        <v>10082.977294962797</v>
      </c>
      <c r="F25" s="74">
        <v>3.0363764476278865E-2</v>
      </c>
      <c r="G25" s="42">
        <f>TableFall_FON_Calculations[[#This Row],[Funded Credit FTES
2025-26 P1 
(c )]]*(1-TableFall_FON_Calculations[[#This Row],[2025-26 P1
Deficit Percentage
(d)]])</f>
        <v>9776.8201471588782</v>
      </c>
      <c r="H25" s="43">
        <f t="shared" si="2"/>
        <v>-752.65840439618114</v>
      </c>
      <c r="I25" s="44">
        <f t="shared" si="0"/>
        <v>-7.1481071043639086E-2</v>
      </c>
      <c r="J25" s="51">
        <f t="shared" si="1"/>
        <v>-15</v>
      </c>
      <c r="K25" s="50">
        <f>TableFall_FON_Calculations[[#This Row],[Base FON:
2024-25 Fall 2025 R1 FON
(a)]]+TableFall_FON_Calculations[[#This Row],[FTES Adjustment (rounded)
(h = a*g) ]]</f>
        <v>193.0789</v>
      </c>
    </row>
    <row r="26" spans="2:11">
      <c r="B26" s="2" t="s">
        <v>19</v>
      </c>
      <c r="C26" s="10">
        <v>296.54349999999999</v>
      </c>
      <c r="D26" s="41">
        <v>16767.580000000002</v>
      </c>
      <c r="E26" s="72">
        <v>16580.779833895969</v>
      </c>
      <c r="F26" s="74">
        <v>3.0363761042203175E-2</v>
      </c>
      <c r="G26" s="47">
        <f>TableFall_FON_Calculations[[#This Row],[Funded Credit FTES
2025-26 P1 
(c )]]*(1-TableFall_FON_Calculations[[#This Row],[2025-26 P1
Deficit Percentage
(d)]])</f>
        <v>16077.32499712617</v>
      </c>
      <c r="H26" s="48">
        <f t="shared" si="2"/>
        <v>-690.25500287383147</v>
      </c>
      <c r="I26" s="49">
        <f t="shared" si="0"/>
        <v>-4.1166047985089764E-2</v>
      </c>
      <c r="J26" s="9">
        <f t="shared" si="1"/>
        <v>-13</v>
      </c>
      <c r="K26" s="50">
        <f>TableFall_FON_Calculations[[#This Row],[Base FON:
2024-25 Fall 2025 R1 FON
(a)]]+TableFall_FON_Calculations[[#This Row],[FTES Adjustment (rounded)
(h = a*g) ]]</f>
        <v>283.54349999999999</v>
      </c>
    </row>
    <row r="27" spans="2:11">
      <c r="B27" s="38" t="s">
        <v>20</v>
      </c>
      <c r="C27" s="39">
        <v>130.95830000000001</v>
      </c>
      <c r="D27" s="40">
        <v>8007.2132804123476</v>
      </c>
      <c r="E27" s="72">
        <v>7765.266886640763</v>
      </c>
      <c r="F27" s="74">
        <v>3.0363768174278438E-2</v>
      </c>
      <c r="G27" s="42">
        <f>TableFall_FON_Calculations[[#This Row],[Funded Credit FTES
2025-26 P1 
(c )]]*(1-TableFall_FON_Calculations[[#This Row],[2025-26 P1
Deficit Percentage
(d)]])</f>
        <v>7529.4841230834018</v>
      </c>
      <c r="H27" s="43">
        <f t="shared" si="2"/>
        <v>-477.7291573289458</v>
      </c>
      <c r="I27" s="44">
        <f t="shared" si="0"/>
        <v>-5.9662349508984754E-2</v>
      </c>
      <c r="J27" s="51">
        <f t="shared" si="1"/>
        <v>-8</v>
      </c>
      <c r="K27" s="50">
        <f>TableFall_FON_Calculations[[#This Row],[Base FON:
2024-25 Fall 2025 R1 FON
(a)]]+TableFall_FON_Calculations[[#This Row],[FTES Adjustment (rounded)
(h = a*g) ]]</f>
        <v>122.95830000000001</v>
      </c>
    </row>
    <row r="28" spans="2:11">
      <c r="B28" s="2" t="s">
        <v>21</v>
      </c>
      <c r="C28" s="10">
        <v>119.06059999999999</v>
      </c>
      <c r="D28" s="41">
        <v>7496.4203791444961</v>
      </c>
      <c r="E28" s="72">
        <v>7532.4327467964004</v>
      </c>
      <c r="F28" s="74">
        <v>3.0363755070676013E-2</v>
      </c>
      <c r="G28" s="47">
        <f>TableFall_FON_Calculations[[#This Row],[Funded Credit FTES
2025-26 P1 
(c )]]*(1-TableFall_FON_Calculations[[#This Row],[2025-26 P1
Deficit Percentage
(d)]])</f>
        <v>7303.7198037863354</v>
      </c>
      <c r="H28" s="48">
        <f t="shared" si="2"/>
        <v>-192.70057535816068</v>
      </c>
      <c r="I28" s="49">
        <f t="shared" si="0"/>
        <v>-2.5705678925673055E-2</v>
      </c>
      <c r="J28" s="9">
        <f t="shared" si="1"/>
        <v>-4</v>
      </c>
      <c r="K28" s="50">
        <f>TableFall_FON_Calculations[[#This Row],[Base FON:
2024-25 Fall 2025 R1 FON
(a)]]+TableFall_FON_Calculations[[#This Row],[FTES Adjustment (rounded)
(h = a*g) ]]</f>
        <v>115.06059999999999</v>
      </c>
    </row>
    <row r="29" spans="2:11">
      <c r="B29" s="38" t="s">
        <v>22</v>
      </c>
      <c r="C29" s="39">
        <v>579.78919999999994</v>
      </c>
      <c r="D29" s="40">
        <v>26696.751614891567</v>
      </c>
      <c r="E29" s="72">
        <v>26856.515465878936</v>
      </c>
      <c r="F29" s="74">
        <v>3.0363762043423836E-2</v>
      </c>
      <c r="G29" s="42">
        <f>TableFall_FON_Calculations[[#This Row],[Funded Credit FTES
2025-26 P1 
(c )]]*(1-TableFall_FON_Calculations[[#This Row],[2025-26 P1
Deficit Percentage
(d)]])</f>
        <v>26041.050620957456</v>
      </c>
      <c r="H29" s="43">
        <f t="shared" si="2"/>
        <v>-655.70099393411147</v>
      </c>
      <c r="I29" s="44">
        <f t="shared" si="0"/>
        <v>-2.4561077819233952E-2</v>
      </c>
      <c r="J29" s="51">
        <f t="shared" si="1"/>
        <v>-15</v>
      </c>
      <c r="K29" s="50">
        <f>TableFall_FON_Calculations[[#This Row],[Base FON:
2024-25 Fall 2025 R1 FON
(a)]]+TableFall_FON_Calculations[[#This Row],[FTES Adjustment (rounded)
(h = a*g) ]]</f>
        <v>564.78919999999994</v>
      </c>
    </row>
    <row r="30" spans="2:11">
      <c r="B30" s="2" t="s">
        <v>23</v>
      </c>
      <c r="C30" s="10">
        <v>22.56</v>
      </c>
      <c r="D30" s="41">
        <v>2007.9301356738292</v>
      </c>
      <c r="E30" s="72">
        <v>2103.848596495709</v>
      </c>
      <c r="F30" s="74">
        <v>3.036377091073672E-2</v>
      </c>
      <c r="G30" s="47">
        <f>TableFall_FON_Calculations[[#This Row],[Funded Credit FTES
2025-26 P1 
(c )]]*(1-TableFall_FON_Calculations[[#This Row],[2025-26 P1
Deficit Percentage
(d)]])</f>
        <v>2039.9678196808384</v>
      </c>
      <c r="H30" s="48">
        <f t="shared" si="2"/>
        <v>32.037684007009148</v>
      </c>
      <c r="I30" s="49">
        <f t="shared" si="0"/>
        <v>1.595557705809212E-2</v>
      </c>
      <c r="J30" s="9">
        <f t="shared" si="1"/>
        <v>0</v>
      </c>
      <c r="K30" s="50">
        <f>TableFall_FON_Calculations[[#This Row],[Base FON:
2024-25 Fall 2025 R1 FON
(a)]]+TableFall_FON_Calculations[[#This Row],[FTES Adjustment (rounded)
(h = a*g) ]]</f>
        <v>22.56</v>
      </c>
    </row>
    <row r="31" spans="2:11">
      <c r="B31" s="38" t="s">
        <v>24</v>
      </c>
      <c r="C31" s="39">
        <v>15.046900000000001</v>
      </c>
      <c r="D31" s="40">
        <v>1499.3466666666668</v>
      </c>
      <c r="E31" s="72">
        <v>1568.4441782354977</v>
      </c>
      <c r="F31" s="74">
        <v>3.0363753010249628E-2</v>
      </c>
      <c r="G31" s="42">
        <f>TableFall_FON_Calculations[[#This Row],[Funded Credit FTES
2025-26 P1 
(c )]]*(1-TableFall_FON_Calculations[[#This Row],[2025-26 P1
Deficit Percentage
(d)]])</f>
        <v>1520.8203265971911</v>
      </c>
      <c r="H31" s="43">
        <f t="shared" si="2"/>
        <v>21.473659930524263</v>
      </c>
      <c r="I31" s="44">
        <f t="shared" si="0"/>
        <v>1.4322011318612726E-2</v>
      </c>
      <c r="J31" s="51">
        <f t="shared" si="1"/>
        <v>0</v>
      </c>
      <c r="K31" s="50">
        <f>TableFall_FON_Calculations[[#This Row],[Base FON:
2024-25 Fall 2025 R1 FON
(a)]]+TableFall_FON_Calculations[[#This Row],[FTES Adjustment (rounded)
(h = a*g) ]]</f>
        <v>15.046900000000001</v>
      </c>
    </row>
    <row r="32" spans="2:11">
      <c r="B32" s="2" t="s">
        <v>25</v>
      </c>
      <c r="C32" s="10">
        <v>374.959</v>
      </c>
      <c r="D32" s="41">
        <v>19616.250910654264</v>
      </c>
      <c r="E32" s="72">
        <v>19580.879999999997</v>
      </c>
      <c r="F32" s="74">
        <v>3.036375918718115E-2</v>
      </c>
      <c r="G32" s="47">
        <f>TableFall_FON_Calculations[[#This Row],[Funded Credit FTES
2025-26 P1 
(c )]]*(1-TableFall_FON_Calculations[[#This Row],[2025-26 P1
Deficit Percentage
(d)]])</f>
        <v>18986.330875006905</v>
      </c>
      <c r="H32" s="48">
        <f t="shared" si="2"/>
        <v>-629.92003564735933</v>
      </c>
      <c r="I32" s="49">
        <f t="shared" si="0"/>
        <v>-3.2112152241345365E-2</v>
      </c>
      <c r="J32" s="9">
        <f t="shared" si="1"/>
        <v>-13</v>
      </c>
      <c r="K32" s="50">
        <f>TableFall_FON_Calculations[[#This Row],[Base FON:
2024-25 Fall 2025 R1 FON
(a)]]+TableFall_FON_Calculations[[#This Row],[FTES Adjustment (rounded)
(h = a*g) ]]</f>
        <v>361.959</v>
      </c>
    </row>
    <row r="33" spans="2:11">
      <c r="B33" s="38" t="s">
        <v>26</v>
      </c>
      <c r="C33" s="39">
        <v>1578.7841000000001</v>
      </c>
      <c r="D33" s="40">
        <v>87714.896666666667</v>
      </c>
      <c r="E33" s="72">
        <v>85575.306666666656</v>
      </c>
      <c r="F33" s="74">
        <v>3.0363761924117716E-2</v>
      </c>
      <c r="G33" s="42">
        <f>TableFall_FON_Calculations[[#This Row],[Funded Credit FTES
2025-26 P1 
(c )]]*(1-TableFall_FON_Calculations[[#This Row],[2025-26 P1
Deficit Percentage
(d)]])</f>
        <v>82976.918428456629</v>
      </c>
      <c r="H33" s="43">
        <f t="shared" si="2"/>
        <v>-4737.9782382100384</v>
      </c>
      <c r="I33" s="44">
        <f t="shared" si="0"/>
        <v>-5.4015662313498004E-2</v>
      </c>
      <c r="J33" s="51">
        <f t="shared" si="1"/>
        <v>-86</v>
      </c>
      <c r="K33" s="50">
        <f>TableFall_FON_Calculations[[#This Row],[Base FON:
2024-25 Fall 2025 R1 FON
(a)]]+TableFall_FON_Calculations[[#This Row],[FTES Adjustment (rounded)
(h = a*g) ]]</f>
        <v>1492.7841000000001</v>
      </c>
    </row>
    <row r="34" spans="2:11">
      <c r="B34" s="2" t="s">
        <v>27</v>
      </c>
      <c r="C34" s="10">
        <v>933.10069999999996</v>
      </c>
      <c r="D34" s="41">
        <v>45602.302977048297</v>
      </c>
      <c r="E34" s="72">
        <v>45650.276975484616</v>
      </c>
      <c r="F34" s="74">
        <v>3.0363761756650898E-2</v>
      </c>
      <c r="G34" s="47">
        <f>TableFall_FON_Calculations[[#This Row],[Funded Credit FTES
2025-26 P1 
(c )]]*(1-TableFall_FON_Calculations[[#This Row],[2025-26 P1
Deficit Percentage
(d)]])</f>
        <v>44264.162841275873</v>
      </c>
      <c r="H34" s="48">
        <f t="shared" si="2"/>
        <v>-1338.1401357724244</v>
      </c>
      <c r="I34" s="49">
        <f t="shared" si="0"/>
        <v>-2.934369644546049E-2</v>
      </c>
      <c r="J34" s="9">
        <f t="shared" si="1"/>
        <v>-28</v>
      </c>
      <c r="K34" s="50">
        <f>TableFall_FON_Calculations[[#This Row],[Base FON:
2024-25 Fall 2025 R1 FON
(a)]]+TableFall_FON_Calculations[[#This Row],[FTES Adjustment (rounded)
(h = a*g) ]]</f>
        <v>905.10069999999996</v>
      </c>
    </row>
    <row r="35" spans="2:11">
      <c r="B35" s="38" t="s">
        <v>28</v>
      </c>
      <c r="C35" s="39">
        <v>55.504600000000003</v>
      </c>
      <c r="D35" s="40">
        <v>3010.2043205265663</v>
      </c>
      <c r="E35" s="72">
        <v>3039.8414640720366</v>
      </c>
      <c r="F35" s="74">
        <v>0</v>
      </c>
      <c r="G35" s="42">
        <f>TableFall_FON_Calculations[[#This Row],[Funded Credit FTES
2025-26 P1 
(c )]]*(1-TableFall_FON_Calculations[[#This Row],[2025-26 P1
Deficit Percentage
(d)]])</f>
        <v>3039.8414640720366</v>
      </c>
      <c r="H35" s="43">
        <f t="shared" si="2"/>
        <v>29.637143545470281</v>
      </c>
      <c r="I35" s="44">
        <f t="shared" si="0"/>
        <v>9.8455587693415912E-3</v>
      </c>
      <c r="J35" s="51">
        <f t="shared" si="1"/>
        <v>0</v>
      </c>
      <c r="K35" s="50">
        <f>TableFall_FON_Calculations[[#This Row],[Base FON:
2024-25 Fall 2025 R1 FON
(a)]]+TableFall_FON_Calculations[[#This Row],[FTES Adjustment (rounded)
(h = a*g) ]]</f>
        <v>55.504600000000003</v>
      </c>
    </row>
    <row r="36" spans="2:11">
      <c r="B36" s="2" t="s">
        <v>29</v>
      </c>
      <c r="C36" s="10">
        <v>43.740099999999998</v>
      </c>
      <c r="D36" s="41">
        <v>2919.2627840954347</v>
      </c>
      <c r="E36" s="72">
        <v>2827.3863872451839</v>
      </c>
      <c r="F36" s="74">
        <v>3.0363752561632151E-2</v>
      </c>
      <c r="G36" s="47">
        <f>TableFall_FON_Calculations[[#This Row],[Funded Credit FTES
2025-26 P1 
(c )]]*(1-TableFall_FON_Calculations[[#This Row],[2025-26 P1
Deficit Percentage
(d)]])</f>
        <v>2741.5363265867441</v>
      </c>
      <c r="H36" s="48">
        <f t="shared" si="2"/>
        <v>-177.7264575086906</v>
      </c>
      <c r="I36" s="49">
        <f t="shared" si="0"/>
        <v>-6.0880595771291991E-2</v>
      </c>
      <c r="J36" s="9">
        <f t="shared" si="1"/>
        <v>-3</v>
      </c>
      <c r="K36" s="50">
        <f>TableFall_FON_Calculations[[#This Row],[Base FON:
2024-25 Fall 2025 R1 FON
(a)]]+TableFall_FON_Calculations[[#This Row],[FTES Adjustment (rounded)
(h = a*g) ]]</f>
        <v>40.740099999999998</v>
      </c>
    </row>
    <row r="37" spans="2:11">
      <c r="B37" s="38" t="s">
        <v>30</v>
      </c>
      <c r="C37" s="39">
        <v>208.74430000000001</v>
      </c>
      <c r="D37" s="40">
        <v>9665.0826022233086</v>
      </c>
      <c r="E37" s="72">
        <v>9625.5641995101869</v>
      </c>
      <c r="F37" s="74">
        <v>3.036376300592103E-2</v>
      </c>
      <c r="G37" s="42">
        <f>TableFall_FON_Calculations[[#This Row],[Funded Credit FTES
2025-26 P1 
(c )]]*(1-TableFall_FON_Calculations[[#This Row],[2025-26 P1
Deficit Percentage
(d)]])</f>
        <v>9333.2958493579808</v>
      </c>
      <c r="H37" s="43">
        <f t="shared" si="2"/>
        <v>-331.7867528653278</v>
      </c>
      <c r="I37" s="44">
        <f t="shared" si="0"/>
        <v>-3.4328392888127536E-2</v>
      </c>
      <c r="J37" s="51">
        <f t="shared" si="1"/>
        <v>-8</v>
      </c>
      <c r="K37" s="50">
        <f>TableFall_FON_Calculations[[#This Row],[Base FON:
2024-25 Fall 2025 R1 FON
(a)]]+TableFall_FON_Calculations[[#This Row],[FTES Adjustment (rounded)
(h = a*g) ]]</f>
        <v>200.74430000000001</v>
      </c>
    </row>
    <row r="38" spans="2:11">
      <c r="B38" s="2" t="s">
        <v>31</v>
      </c>
      <c r="C38" s="10">
        <v>156.2406</v>
      </c>
      <c r="D38" s="41">
        <v>9135.67</v>
      </c>
      <c r="E38" s="72">
        <v>9073.2212577780228</v>
      </c>
      <c r="F38" s="74">
        <v>0</v>
      </c>
      <c r="G38" s="47">
        <f>TableFall_FON_Calculations[[#This Row],[Funded Credit FTES
2025-26 P1 
(c )]]*(1-TableFall_FON_Calculations[[#This Row],[2025-26 P1
Deficit Percentage
(d)]])</f>
        <v>9073.2212577780228</v>
      </c>
      <c r="H38" s="48">
        <f t="shared" si="2"/>
        <v>-62.448742221977227</v>
      </c>
      <c r="I38" s="49">
        <f t="shared" si="0"/>
        <v>-6.8357046852586863E-3</v>
      </c>
      <c r="J38" s="9">
        <f t="shared" si="1"/>
        <v>-2</v>
      </c>
      <c r="K38" s="50">
        <f>TableFall_FON_Calculations[[#This Row],[Base FON:
2024-25 Fall 2025 R1 FON
(a)]]+TableFall_FON_Calculations[[#This Row],[FTES Adjustment (rounded)
(h = a*g) ]]</f>
        <v>154.2406</v>
      </c>
    </row>
    <row r="39" spans="2:11">
      <c r="B39" s="38" t="s">
        <v>32</v>
      </c>
      <c r="C39" s="39">
        <v>110.68680000000001</v>
      </c>
      <c r="D39" s="40">
        <v>5617.7720937846698</v>
      </c>
      <c r="E39" s="72">
        <v>5757.8066666666664</v>
      </c>
      <c r="F39" s="74">
        <v>3.036376552055664E-2</v>
      </c>
      <c r="G39" s="42">
        <f>TableFall_FON_Calculations[[#This Row],[Funded Credit FTES
2025-26 P1 
(c )]]*(1-TableFall_FON_Calculations[[#This Row],[2025-26 P1
Deficit Percentage
(d)]])</f>
        <v>5582.9779751273018</v>
      </c>
      <c r="H39" s="43">
        <f t="shared" ref="H39:H70" si="3">G39-D39</f>
        <v>-34.794118657368017</v>
      </c>
      <c r="I39" s="44">
        <f t="shared" ref="I39:I70" si="4">H39/D39</f>
        <v>-6.1935796035341413E-3</v>
      </c>
      <c r="J39" s="51">
        <f t="shared" ref="J39:J70" si="5">IF(C39*I39&gt;=0,ROUNDDOWN(C39*I39,0),ROUNDUP(C39*I39,0))</f>
        <v>-1</v>
      </c>
      <c r="K39" s="50">
        <f>TableFall_FON_Calculations[[#This Row],[Base FON:
2024-25 Fall 2025 R1 FON
(a)]]+TableFall_FON_Calculations[[#This Row],[FTES Adjustment (rounded)
(h = a*g) ]]</f>
        <v>109.68680000000001</v>
      </c>
    </row>
    <row r="40" spans="2:11">
      <c r="B40" s="2" t="s">
        <v>33</v>
      </c>
      <c r="C40" s="10">
        <v>455.09750000000003</v>
      </c>
      <c r="D40" s="41">
        <v>24013.876666666667</v>
      </c>
      <c r="E40" s="72">
        <v>23633.149999999998</v>
      </c>
      <c r="F40" s="74">
        <v>3.0363763131009636E-2</v>
      </c>
      <c r="G40" s="47">
        <f>TableFall_FON_Calculations[[#This Row],[Funded Credit FTES
2025-26 P1 
(c )]]*(1-TableFall_FON_Calculations[[#This Row],[2025-26 P1
Deficit Percentage
(d)]])</f>
        <v>22915.558631360378</v>
      </c>
      <c r="H40" s="48">
        <f t="shared" si="3"/>
        <v>-1098.3180353062889</v>
      </c>
      <c r="I40" s="49">
        <f t="shared" si="4"/>
        <v>-4.5736806703552749E-2</v>
      </c>
      <c r="J40" s="9">
        <f t="shared" si="5"/>
        <v>-21</v>
      </c>
      <c r="K40" s="50">
        <f>TableFall_FON_Calculations[[#This Row],[Base FON:
2024-25 Fall 2025 R1 FON
(a)]]+TableFall_FON_Calculations[[#This Row],[FTES Adjustment (rounded)
(h = a*g) ]]</f>
        <v>434.09750000000003</v>
      </c>
    </row>
    <row r="41" spans="2:11">
      <c r="B41" s="38" t="s">
        <v>34</v>
      </c>
      <c r="C41" s="39">
        <v>190.57810000000001</v>
      </c>
      <c r="D41" s="40">
        <v>13032.979621886483</v>
      </c>
      <c r="E41" s="72">
        <v>13040.63450847604</v>
      </c>
      <c r="F41" s="74">
        <v>3.0363765376653307E-2</v>
      </c>
      <c r="G41" s="42">
        <f>TableFall_FON_Calculations[[#This Row],[Funded Credit FTES
2025-26 P1 
(c )]]*(1-TableFall_FON_Calculations[[#This Row],[2025-26 P1
Deficit Percentage
(d)]])</f>
        <v>12644.671741897984</v>
      </c>
      <c r="H41" s="43">
        <f t="shared" si="3"/>
        <v>-388.30787998849883</v>
      </c>
      <c r="I41" s="44">
        <f t="shared" si="4"/>
        <v>-2.9794252063158867E-2</v>
      </c>
      <c r="J41" s="51">
        <f t="shared" si="5"/>
        <v>-6</v>
      </c>
      <c r="K41" s="50">
        <f>TableFall_FON_Calculations[[#This Row],[Base FON:
2024-25 Fall 2025 R1 FON
(a)]]+TableFall_FON_Calculations[[#This Row],[FTES Adjustment (rounded)
(h = a*g) ]]</f>
        <v>184.57810000000001</v>
      </c>
    </row>
    <row r="42" spans="2:11">
      <c r="B42" s="2" t="s">
        <v>35</v>
      </c>
      <c r="C42" s="10">
        <v>62.383899999999997</v>
      </c>
      <c r="D42" s="41">
        <v>3357.0800000000004</v>
      </c>
      <c r="E42" s="72">
        <v>3425.1933333333332</v>
      </c>
      <c r="F42" s="74">
        <v>0</v>
      </c>
      <c r="G42" s="47">
        <f>TableFall_FON_Calculations[[#This Row],[Funded Credit FTES
2025-26 P1 
(c )]]*(1-TableFall_FON_Calculations[[#This Row],[2025-26 P1
Deficit Percentage
(d)]])</f>
        <v>3425.1933333333332</v>
      </c>
      <c r="H42" s="48">
        <f t="shared" si="3"/>
        <v>68.113333333332776</v>
      </c>
      <c r="I42" s="49">
        <f t="shared" si="4"/>
        <v>2.0289457901906647E-2</v>
      </c>
      <c r="J42" s="9">
        <f t="shared" si="5"/>
        <v>1</v>
      </c>
      <c r="K42" s="50">
        <f>TableFall_FON_Calculations[[#This Row],[Base FON:
2024-25 Fall 2025 R1 FON
(a)]]+TableFall_FON_Calculations[[#This Row],[FTES Adjustment (rounded)
(h = a*g) ]]</f>
        <v>63.383899999999997</v>
      </c>
    </row>
    <row r="43" spans="2:11">
      <c r="B43" s="38" t="s">
        <v>36</v>
      </c>
      <c r="C43" s="39">
        <v>542.17700000000002</v>
      </c>
      <c r="D43" s="40">
        <v>27220.326666666668</v>
      </c>
      <c r="E43" s="72">
        <v>26972.370000000003</v>
      </c>
      <c r="F43" s="74">
        <v>3.0363762778100045E-2</v>
      </c>
      <c r="G43" s="42">
        <f>TableFall_FON_Calculations[[#This Row],[Funded Credit FTES
2025-26 P1 
(c )]]*(1-TableFall_FON_Calculations[[#This Row],[2025-26 P1
Deficit Percentage
(d)]])</f>
        <v>26153.387355756859</v>
      </c>
      <c r="H43" s="43">
        <f t="shared" si="3"/>
        <v>-1066.9393109098091</v>
      </c>
      <c r="I43" s="44">
        <f t="shared" si="4"/>
        <v>-3.9196418322795384E-2</v>
      </c>
      <c r="J43" s="51">
        <f t="shared" si="5"/>
        <v>-22</v>
      </c>
      <c r="K43" s="50">
        <f>TableFall_FON_Calculations[[#This Row],[Base FON:
2024-25 Fall 2025 R1 FON
(a)]]+TableFall_FON_Calculations[[#This Row],[FTES Adjustment (rounded)
(h = a*g) ]]</f>
        <v>520.17700000000002</v>
      </c>
    </row>
    <row r="44" spans="2:11">
      <c r="B44" s="2" t="s">
        <v>37</v>
      </c>
      <c r="C44" s="10">
        <v>104.6443</v>
      </c>
      <c r="D44" s="41">
        <v>6616.1766666666663</v>
      </c>
      <c r="E44" s="72">
        <v>6909.7333333333336</v>
      </c>
      <c r="F44" s="74">
        <v>3.03637559077512E-2</v>
      </c>
      <c r="G44" s="47">
        <f>TableFall_FON_Calculations[[#This Row],[Funded Credit FTES
2025-26 P1 
(c )]]*(1-TableFall_FON_Calculations[[#This Row],[2025-26 P1
Deficit Percentage
(d)]])</f>
        <v>6699.9278770123483</v>
      </c>
      <c r="H44" s="48">
        <f t="shared" si="3"/>
        <v>83.751210345682011</v>
      </c>
      <c r="I44" s="49">
        <f t="shared" si="4"/>
        <v>1.2658551088521219E-2</v>
      </c>
      <c r="J44" s="9">
        <f t="shared" si="5"/>
        <v>1</v>
      </c>
      <c r="K44" s="50">
        <f>TableFall_FON_Calculations[[#This Row],[Base FON:
2024-25 Fall 2025 R1 FON
(a)]]+TableFall_FON_Calculations[[#This Row],[FTES Adjustment (rounded)
(h = a*g) ]]</f>
        <v>105.6443</v>
      </c>
    </row>
    <row r="45" spans="2:11">
      <c r="B45" s="38" t="s">
        <v>38</v>
      </c>
      <c r="C45" s="39">
        <v>34.435299999999998</v>
      </c>
      <c r="D45" s="40">
        <v>2854.3235000737864</v>
      </c>
      <c r="E45" s="72">
        <v>2749.0152209766829</v>
      </c>
      <c r="F45" s="74">
        <v>3.0363751269054329E-2</v>
      </c>
      <c r="G45" s="42">
        <f>TableFall_FON_Calculations[[#This Row],[Funded Credit FTES
2025-26 P1 
(c )]]*(1-TableFall_FON_Calculations[[#This Row],[2025-26 P1
Deficit Percentage
(d)]])</f>
        <v>2665.5448065721025</v>
      </c>
      <c r="H45" s="43">
        <f t="shared" si="3"/>
        <v>-188.77869350168385</v>
      </c>
      <c r="I45" s="44">
        <f t="shared" si="4"/>
        <v>-6.6137805857256121E-2</v>
      </c>
      <c r="J45" s="51">
        <f t="shared" si="5"/>
        <v>-3</v>
      </c>
      <c r="K45" s="50">
        <f>TableFall_FON_Calculations[[#This Row],[Base FON:
2024-25 Fall 2025 R1 FON
(a)]]+TableFall_FON_Calculations[[#This Row],[FTES Adjustment (rounded)
(h = a*g) ]]</f>
        <v>31.435299999999998</v>
      </c>
    </row>
    <row r="46" spans="2:11">
      <c r="B46" s="2" t="s">
        <v>39</v>
      </c>
      <c r="C46" s="10">
        <v>261.1318</v>
      </c>
      <c r="D46" s="41">
        <v>15229.77</v>
      </c>
      <c r="E46" s="72">
        <v>14034.66</v>
      </c>
      <c r="F46" s="74">
        <v>3.0363761697904224E-2</v>
      </c>
      <c r="G46" s="47">
        <f>TableFall_FON_Calculations[[#This Row],[Funded Credit FTES
2025-26 P1 
(c )]]*(1-TableFall_FON_Calculations[[#This Row],[2025-26 P1
Deficit Percentage
(d)]])</f>
        <v>13608.514928248891</v>
      </c>
      <c r="H46" s="48">
        <f t="shared" si="3"/>
        <v>-1621.2550717511094</v>
      </c>
      <c r="I46" s="49">
        <f t="shared" si="4"/>
        <v>-0.10645302402801286</v>
      </c>
      <c r="J46" s="9">
        <f t="shared" si="5"/>
        <v>-28</v>
      </c>
      <c r="K46" s="50">
        <f>TableFall_FON_Calculations[[#This Row],[Base FON:
2024-25 Fall 2025 R1 FON
(a)]]+TableFall_FON_Calculations[[#This Row],[FTES Adjustment (rounded)
(h = a*g) ]]</f>
        <v>233.1318</v>
      </c>
    </row>
    <row r="47" spans="2:11">
      <c r="B47" s="38" t="s">
        <v>40</v>
      </c>
      <c r="C47" s="39">
        <v>431.36059999999998</v>
      </c>
      <c r="D47" s="40">
        <v>21142.516666666666</v>
      </c>
      <c r="E47" s="72">
        <v>20718.353333333333</v>
      </c>
      <c r="F47" s="74">
        <v>3.0363763657461296E-2</v>
      </c>
      <c r="G47" s="42">
        <f>TableFall_FON_Calculations[[#This Row],[Funded Credit FTES
2025-26 P1 
(c )]]*(1-TableFall_FON_Calculations[[#This Row],[2025-26 P1
Deficit Percentage
(d)]])</f>
        <v>20089.266149348223</v>
      </c>
      <c r="H47" s="43">
        <f t="shared" si="3"/>
        <v>-1053.2505173184436</v>
      </c>
      <c r="I47" s="44">
        <f t="shared" si="4"/>
        <v>-4.9816705074613964E-2</v>
      </c>
      <c r="J47" s="51">
        <f t="shared" si="5"/>
        <v>-22</v>
      </c>
      <c r="K47" s="50">
        <f>TableFall_FON_Calculations[[#This Row],[Base FON:
2024-25 Fall 2025 R1 FON
(a)]]+TableFall_FON_Calculations[[#This Row],[FTES Adjustment (rounded)
(h = a*g) ]]</f>
        <v>409.36059999999998</v>
      </c>
    </row>
    <row r="48" spans="2:11">
      <c r="B48" s="2" t="s">
        <v>41</v>
      </c>
      <c r="C48" s="10">
        <v>276.85899999999998</v>
      </c>
      <c r="D48" s="41">
        <v>14600.560000000001</v>
      </c>
      <c r="E48" s="72">
        <v>12817.876666666667</v>
      </c>
      <c r="F48" s="74">
        <v>3.0363760837488596E-2</v>
      </c>
      <c r="G48" s="47">
        <f>TableFall_FON_Calculations[[#This Row],[Funded Credit FTES
2025-26 P1 
(c )]]*(1-TableFall_FON_Calculations[[#This Row],[2025-26 P1
Deficit Percentage
(d)]])</f>
        <v>12428.677725115575</v>
      </c>
      <c r="H48" s="48">
        <f t="shared" si="3"/>
        <v>-2171.8822748844268</v>
      </c>
      <c r="I48" s="49">
        <f t="shared" si="4"/>
        <v>-0.14875335431548015</v>
      </c>
      <c r="J48" s="9">
        <f t="shared" si="5"/>
        <v>-42</v>
      </c>
      <c r="K48" s="50">
        <f>TableFall_FON_Calculations[[#This Row],[Base FON:
2024-25 Fall 2025 R1 FON
(a)]]+TableFall_FON_Calculations[[#This Row],[FTES Adjustment (rounded)
(h = a*g) ]]</f>
        <v>234.85899999999998</v>
      </c>
    </row>
    <row r="49" spans="2:11">
      <c r="B49" s="38" t="s">
        <v>42</v>
      </c>
      <c r="C49" s="39">
        <v>349.36529999999999</v>
      </c>
      <c r="D49" s="40">
        <v>19502.993333333332</v>
      </c>
      <c r="E49" s="72">
        <v>19470.87</v>
      </c>
      <c r="F49" s="74">
        <v>3.0363761992767468E-2</v>
      </c>
      <c r="G49" s="42">
        <f>TableFall_FON_Calculations[[#This Row],[Funded Credit FTES
2025-26 P1 
(c )]]*(1-TableFall_FON_Calculations[[#This Row],[2025-26 P1
Deficit Percentage
(d)]])</f>
        <v>18879.661137527884</v>
      </c>
      <c r="H49" s="43">
        <f t="shared" si="3"/>
        <v>-623.33219580544755</v>
      </c>
      <c r="I49" s="44">
        <f t="shared" si="4"/>
        <v>-3.1960847504371857E-2</v>
      </c>
      <c r="J49" s="51">
        <f t="shared" si="5"/>
        <v>-12</v>
      </c>
      <c r="K49" s="50">
        <f>TableFall_FON_Calculations[[#This Row],[Base FON:
2024-25 Fall 2025 R1 FON
(a)]]+TableFall_FON_Calculations[[#This Row],[FTES Adjustment (rounded)
(h = a*g) ]]</f>
        <v>337.36529999999999</v>
      </c>
    </row>
    <row r="50" spans="2:11">
      <c r="B50" s="2" t="s">
        <v>43</v>
      </c>
      <c r="C50" s="10">
        <v>63.157499999999999</v>
      </c>
      <c r="D50" s="41">
        <v>3599.6238684031605</v>
      </c>
      <c r="E50" s="72">
        <v>3612.8840973314641</v>
      </c>
      <c r="F50" s="74">
        <v>3.0363765591921665E-2</v>
      </c>
      <c r="G50" s="47">
        <f>TableFall_FON_Calculations[[#This Row],[Funded Credit FTES
2025-26 P1 
(c )]]*(1-TableFall_FON_Calculations[[#This Row],[2025-26 P1
Deficit Percentage
(d)]])</f>
        <v>3503.1833314893101</v>
      </c>
      <c r="H50" s="48">
        <f t="shared" si="3"/>
        <v>-96.440536913850337</v>
      </c>
      <c r="I50" s="49">
        <f t="shared" si="4"/>
        <v>-2.6791837269551332E-2</v>
      </c>
      <c r="J50" s="9">
        <f t="shared" si="5"/>
        <v>-2</v>
      </c>
      <c r="K50" s="50">
        <f>TableFall_FON_Calculations[[#This Row],[Base FON:
2024-25 Fall 2025 R1 FON
(a)]]+TableFall_FON_Calculations[[#This Row],[FTES Adjustment (rounded)
(h = a*g) ]]</f>
        <v>61.157499999999999</v>
      </c>
    </row>
    <row r="51" spans="2:11">
      <c r="B51" s="38" t="s">
        <v>44</v>
      </c>
      <c r="C51" s="39">
        <v>225.8244</v>
      </c>
      <c r="D51" s="40">
        <v>12128.100366219453</v>
      </c>
      <c r="E51" s="72">
        <v>10541.566666666666</v>
      </c>
      <c r="F51" s="74">
        <v>3.0363764577911234E-2</v>
      </c>
      <c r="G51" s="42">
        <f>TableFall_FON_Calculations[[#This Row],[Funded Credit FTES
2025-26 P1 
(c )]]*(1-TableFall_FON_Calculations[[#This Row],[2025-26 P1
Deficit Percentage
(d)]])</f>
        <v>10221.485018117643</v>
      </c>
      <c r="H51" s="43">
        <f t="shared" si="3"/>
        <v>-1906.61534810181</v>
      </c>
      <c r="I51" s="44">
        <f t="shared" si="4"/>
        <v>-0.15720642891547379</v>
      </c>
      <c r="J51" s="51">
        <f t="shared" si="5"/>
        <v>-36</v>
      </c>
      <c r="K51" s="50">
        <f>TableFall_FON_Calculations[[#This Row],[Base FON:
2024-25 Fall 2025 R1 FON
(a)]]+TableFall_FON_Calculations[[#This Row],[FTES Adjustment (rounded)
(h = a*g) ]]</f>
        <v>189.8244</v>
      </c>
    </row>
    <row r="52" spans="2:11">
      <c r="B52" s="2" t="s">
        <v>45</v>
      </c>
      <c r="C52" s="10">
        <v>500.35449999999997</v>
      </c>
      <c r="D52" s="41">
        <v>32174.286124216611</v>
      </c>
      <c r="E52" s="72">
        <v>31517.764361600966</v>
      </c>
      <c r="F52" s="74">
        <v>3.0363762006396677E-2</v>
      </c>
      <c r="G52" s="47">
        <f>TableFall_FON_Calculations[[#This Row],[Funded Credit FTES
2025-26 P1 
(c )]]*(1-TableFall_FON_Calculations[[#This Row],[2025-26 P1
Deficit Percentage
(d)]])</f>
        <v>30560.766465551624</v>
      </c>
      <c r="H52" s="48">
        <f t="shared" si="3"/>
        <v>-1613.5196586649872</v>
      </c>
      <c r="I52" s="49">
        <f t="shared" si="4"/>
        <v>-5.0149353817380886E-2</v>
      </c>
      <c r="J52" s="9">
        <f t="shared" si="5"/>
        <v>-26</v>
      </c>
      <c r="K52" s="50">
        <f>TableFall_FON_Calculations[[#This Row],[Base FON:
2024-25 Fall 2025 R1 FON
(a)]]+TableFall_FON_Calculations[[#This Row],[FTES Adjustment (rounded)
(h = a*g) ]]</f>
        <v>474.35449999999997</v>
      </c>
    </row>
    <row r="53" spans="2:11">
      <c r="B53" s="38" t="s">
        <v>46</v>
      </c>
      <c r="C53" s="39">
        <v>263.38229999999999</v>
      </c>
      <c r="D53" s="40">
        <v>15337.565219283893</v>
      </c>
      <c r="E53" s="72">
        <v>15016.525711615966</v>
      </c>
      <c r="F53" s="74">
        <v>3.0363764391449055E-2</v>
      </c>
      <c r="G53" s="42">
        <f>TableFall_FON_Calculations[[#This Row],[Funded Credit FTES
2025-26 P1 
(c )]]*(1-TableFall_FON_Calculations[[#This Row],[2025-26 P1
Deficit Percentage
(d)]])</f>
        <v>14560.567462930323</v>
      </c>
      <c r="H53" s="43">
        <f t="shared" si="3"/>
        <v>-776.99775635357037</v>
      </c>
      <c r="I53" s="44">
        <f t="shared" si="4"/>
        <v>-5.065978499486036E-2</v>
      </c>
      <c r="J53" s="51">
        <f t="shared" si="5"/>
        <v>-14</v>
      </c>
      <c r="K53" s="50">
        <f>TableFall_FON_Calculations[[#This Row],[Base FON:
2024-25 Fall 2025 R1 FON
(a)]]+TableFall_FON_Calculations[[#This Row],[FTES Adjustment (rounded)
(h = a*g) ]]</f>
        <v>249.38229999999999</v>
      </c>
    </row>
    <row r="54" spans="2:11">
      <c r="B54" s="2" t="s">
        <v>47</v>
      </c>
      <c r="C54" s="10">
        <v>520.00289999999995</v>
      </c>
      <c r="D54" s="41">
        <v>29411.481153561188</v>
      </c>
      <c r="E54" s="72">
        <v>28571.293333333331</v>
      </c>
      <c r="F54" s="74">
        <v>3.0363761527659849E-2</v>
      </c>
      <c r="G54" s="47">
        <f>TableFall_FON_Calculations[[#This Row],[Funded Credit FTES
2025-26 P1 
(c )]]*(1-TableFall_FON_Calculations[[#This Row],[2025-26 P1
Deficit Percentage
(d)]])</f>
        <v>27703.761396023179</v>
      </c>
      <c r="H54" s="48">
        <f t="shared" si="3"/>
        <v>-1707.7197575380087</v>
      </c>
      <c r="I54" s="49">
        <f t="shared" si="4"/>
        <v>-5.8063031529142668E-2</v>
      </c>
      <c r="J54" s="9">
        <f t="shared" si="5"/>
        <v>-31</v>
      </c>
      <c r="K54" s="50">
        <f>TableFall_FON_Calculations[[#This Row],[Base FON:
2024-25 Fall 2025 R1 FON
(a)]]+TableFall_FON_Calculations[[#This Row],[FTES Adjustment (rounded)
(h = a*g) ]]</f>
        <v>489.00289999999995</v>
      </c>
    </row>
    <row r="55" spans="2:11">
      <c r="B55" s="38" t="s">
        <v>48</v>
      </c>
      <c r="C55" s="39">
        <v>158.06739999999999</v>
      </c>
      <c r="D55" s="40">
        <v>11401.753333333334</v>
      </c>
      <c r="E55" s="72">
        <v>11748.303333333333</v>
      </c>
      <c r="F55" s="74">
        <v>3.0363764253438008E-2</v>
      </c>
      <c r="G55" s="42">
        <f>TableFall_FON_Calculations[[#This Row],[Funded Credit FTES
2025-26 P1 
(c )]]*(1-TableFall_FON_Calculations[[#This Row],[2025-26 P1
Deficit Percentage
(d)]])</f>
        <v>11391.58062054212</v>
      </c>
      <c r="H55" s="43">
        <f t="shared" si="3"/>
        <v>-10.172712791214508</v>
      </c>
      <c r="I55" s="44">
        <f t="shared" si="4"/>
        <v>-8.922060049724376E-4</v>
      </c>
      <c r="J55" s="51">
        <f t="shared" si="5"/>
        <v>-1</v>
      </c>
      <c r="K55" s="50">
        <f>TableFall_FON_Calculations[[#This Row],[Base FON:
2024-25 Fall 2025 R1 FON
(a)]]+TableFall_FON_Calculations[[#This Row],[FTES Adjustment (rounded)
(h = a*g) ]]</f>
        <v>157.06739999999999</v>
      </c>
    </row>
    <row r="56" spans="2:11">
      <c r="B56" s="2" t="s">
        <v>49</v>
      </c>
      <c r="C56" s="10">
        <v>260.05119999999999</v>
      </c>
      <c r="D56" s="41">
        <v>16136.056089138201</v>
      </c>
      <c r="E56" s="72">
        <v>16074.419423688232</v>
      </c>
      <c r="F56" s="74">
        <v>3.0363760708934207E-2</v>
      </c>
      <c r="G56" s="47">
        <f>TableFall_FON_Calculations[[#This Row],[Funded Credit FTES
2025-26 P1 
(c )]]*(1-TableFall_FON_Calculations[[#This Row],[2025-26 P1
Deficit Percentage
(d)]])</f>
        <v>15586.339598772318</v>
      </c>
      <c r="H56" s="48">
        <f t="shared" si="3"/>
        <v>-549.71649036588315</v>
      </c>
      <c r="I56" s="49">
        <f t="shared" si="4"/>
        <v>-3.4067586734277552E-2</v>
      </c>
      <c r="J56" s="9">
        <f t="shared" si="5"/>
        <v>-9</v>
      </c>
      <c r="K56" s="50">
        <f>TableFall_FON_Calculations[[#This Row],[Base FON:
2024-25 Fall 2025 R1 FON
(a)]]+TableFall_FON_Calculations[[#This Row],[FTES Adjustment (rounded)
(h = a*g) ]]</f>
        <v>251.05119999999999</v>
      </c>
    </row>
    <row r="57" spans="2:11">
      <c r="B57" s="38" t="s">
        <v>50</v>
      </c>
      <c r="C57" s="39">
        <v>167.82929999999999</v>
      </c>
      <c r="D57" s="40">
        <v>9778.7066666666669</v>
      </c>
      <c r="E57" s="72">
        <v>9856.7800000000007</v>
      </c>
      <c r="F57" s="74">
        <v>0</v>
      </c>
      <c r="G57" s="42">
        <f>TableFall_FON_Calculations[[#This Row],[Funded Credit FTES
2025-26 P1 
(c )]]*(1-TableFall_FON_Calculations[[#This Row],[2025-26 P1
Deficit Percentage
(d)]])</f>
        <v>9856.7800000000007</v>
      </c>
      <c r="H57" s="43">
        <f t="shared" si="3"/>
        <v>78.073333333333721</v>
      </c>
      <c r="I57" s="44">
        <f t="shared" si="4"/>
        <v>7.984014245919404E-3</v>
      </c>
      <c r="J57" s="51">
        <f t="shared" si="5"/>
        <v>1</v>
      </c>
      <c r="K57" s="50">
        <f>TableFall_FON_Calculations[[#This Row],[Base FON:
2024-25 Fall 2025 R1 FON
(a)]]+TableFall_FON_Calculations[[#This Row],[FTES Adjustment (rounded)
(h = a*g) ]]</f>
        <v>168.82929999999999</v>
      </c>
    </row>
    <row r="58" spans="2:11">
      <c r="B58" s="2" t="s">
        <v>51</v>
      </c>
      <c r="C58" s="10">
        <v>129.1765</v>
      </c>
      <c r="D58" s="41">
        <v>7477.5899999999983</v>
      </c>
      <c r="E58" s="72">
        <v>7337.580330237437</v>
      </c>
      <c r="F58" s="74">
        <v>3.0363756168888645E-2</v>
      </c>
      <c r="G58" s="47">
        <f>TableFall_FON_Calculations[[#This Row],[Funded Credit FTES
2025-26 P1 
(c )]]*(1-TableFall_FON_Calculations[[#This Row],[2025-26 P1
Deficit Percentage
(d)]])</f>
        <v>7114.7838302204736</v>
      </c>
      <c r="H58" s="48">
        <f t="shared" si="3"/>
        <v>-362.80616977952468</v>
      </c>
      <c r="I58" s="49">
        <f t="shared" si="4"/>
        <v>-4.8519131134432986E-2</v>
      </c>
      <c r="J58" s="9">
        <f t="shared" si="5"/>
        <v>-7</v>
      </c>
      <c r="K58" s="50">
        <f>TableFall_FON_Calculations[[#This Row],[Base FON:
2024-25 Fall 2025 R1 FON
(a)]]+TableFall_FON_Calculations[[#This Row],[FTES Adjustment (rounded)
(h = a*g) ]]</f>
        <v>122.1765</v>
      </c>
    </row>
    <row r="59" spans="2:11">
      <c r="B59" s="38" t="s">
        <v>52</v>
      </c>
      <c r="C59" s="39">
        <v>275.73450000000003</v>
      </c>
      <c r="D59" s="40">
        <v>14192.767880400332</v>
      </c>
      <c r="E59" s="72">
        <v>14638.678409014161</v>
      </c>
      <c r="F59" s="74">
        <v>0</v>
      </c>
      <c r="G59" s="42">
        <f>TableFall_FON_Calculations[[#This Row],[Funded Credit FTES
2025-26 P1 
(c )]]*(1-TableFall_FON_Calculations[[#This Row],[2025-26 P1
Deficit Percentage
(d)]])</f>
        <v>14638.678409014161</v>
      </c>
      <c r="H59" s="43">
        <f t="shared" si="3"/>
        <v>445.91052861382923</v>
      </c>
      <c r="I59" s="44">
        <f t="shared" si="4"/>
        <v>3.1418151298705774E-2</v>
      </c>
      <c r="J59" s="51">
        <f t="shared" si="5"/>
        <v>8</v>
      </c>
      <c r="K59" s="50">
        <f>TableFall_FON_Calculations[[#This Row],[Base FON:
2024-25 Fall 2025 R1 FON
(a)]]+TableFall_FON_Calculations[[#This Row],[FTES Adjustment (rounded)
(h = a*g) ]]</f>
        <v>283.73450000000003</v>
      </c>
    </row>
    <row r="60" spans="2:11">
      <c r="B60" s="2" t="s">
        <v>53</v>
      </c>
      <c r="C60" s="10">
        <v>213.14959999999999</v>
      </c>
      <c r="D60" s="41">
        <v>10836.866666666665</v>
      </c>
      <c r="E60" s="72">
        <v>10045.119999999999</v>
      </c>
      <c r="F60" s="74">
        <v>3.0363759929983636E-2</v>
      </c>
      <c r="G60" s="47">
        <f>TableFall_FON_Calculations[[#This Row],[Funded Credit FTES
2025-26 P1 
(c )]]*(1-TableFall_FON_Calculations[[#This Row],[2025-26 P1
Deficit Percentage
(d)]])</f>
        <v>9740.1123878521212</v>
      </c>
      <c r="H60" s="48">
        <f t="shared" si="3"/>
        <v>-1096.7542788145438</v>
      </c>
      <c r="I60" s="49">
        <f t="shared" si="4"/>
        <v>-0.10120584782943508</v>
      </c>
      <c r="J60" s="9">
        <f t="shared" si="5"/>
        <v>-22</v>
      </c>
      <c r="K60" s="50">
        <f>TableFall_FON_Calculations[[#This Row],[Base FON:
2024-25 Fall 2025 R1 FON
(a)]]+TableFall_FON_Calculations[[#This Row],[FTES Adjustment (rounded)
(h = a*g) ]]</f>
        <v>191.14959999999999</v>
      </c>
    </row>
    <row r="61" spans="2:11">
      <c r="B61" s="38" t="s">
        <v>54</v>
      </c>
      <c r="C61" s="39">
        <v>205.6576</v>
      </c>
      <c r="D61" s="40">
        <v>13826.626666666665</v>
      </c>
      <c r="E61" s="72">
        <v>13297.76</v>
      </c>
      <c r="F61" s="74">
        <v>3.0363761656020838E-2</v>
      </c>
      <c r="G61" s="42">
        <f>TableFall_FON_Calculations[[#This Row],[Funded Credit FTES
2025-26 P1 
(c )]]*(1-TableFall_FON_Calculations[[#This Row],[2025-26 P1
Deficit Percentage
(d)]])</f>
        <v>12893.989984801032</v>
      </c>
      <c r="H61" s="43">
        <f t="shared" si="3"/>
        <v>-932.63668186563336</v>
      </c>
      <c r="I61" s="44">
        <f t="shared" si="4"/>
        <v>-6.7452221308183638E-2</v>
      </c>
      <c r="J61" s="51">
        <f t="shared" si="5"/>
        <v>-14</v>
      </c>
      <c r="K61" s="50">
        <f>TableFall_FON_Calculations[[#This Row],[Base FON:
2024-25 Fall 2025 R1 FON
(a)]]+TableFall_FON_Calculations[[#This Row],[FTES Adjustment (rounded)
(h = a*g) ]]</f>
        <v>191.6576</v>
      </c>
    </row>
    <row r="62" spans="2:11">
      <c r="B62" s="2" t="s">
        <v>55</v>
      </c>
      <c r="C62" s="10">
        <v>242.57999999999998</v>
      </c>
      <c r="D62" s="41">
        <v>16567.080000000002</v>
      </c>
      <c r="E62" s="72">
        <v>17268.033333333329</v>
      </c>
      <c r="F62" s="74">
        <v>3.0363761236518183E-2</v>
      </c>
      <c r="G62" s="47">
        <f>TableFall_FON_Calculations[[#This Row],[Funded Credit FTES
2025-26 P1 
(c )]]*(1-TableFall_FON_Calculations[[#This Row],[2025-26 P1
Deficit Percentage
(d)]])</f>
        <v>16743.710892175757</v>
      </c>
      <c r="H62" s="48">
        <f t="shared" si="3"/>
        <v>176.63089217575543</v>
      </c>
      <c r="I62" s="49">
        <f t="shared" si="4"/>
        <v>1.0661558474743612E-2</v>
      </c>
      <c r="J62" s="9">
        <f t="shared" si="5"/>
        <v>2</v>
      </c>
      <c r="K62" s="50">
        <f>TableFall_FON_Calculations[[#This Row],[Base FON:
2024-25 Fall 2025 R1 FON
(a)]]+TableFall_FON_Calculations[[#This Row],[FTES Adjustment (rounded)
(h = a*g) ]]</f>
        <v>244.57999999999998</v>
      </c>
    </row>
    <row r="63" spans="2:11">
      <c r="B63" s="38" t="s">
        <v>56</v>
      </c>
      <c r="C63" s="39">
        <v>236.28219999999999</v>
      </c>
      <c r="D63" s="40">
        <v>10594.062368845824</v>
      </c>
      <c r="E63" s="72">
        <v>10661.667160662872</v>
      </c>
      <c r="F63" s="74">
        <v>3.0363765752749794E-2</v>
      </c>
      <c r="G63" s="42">
        <f>TableFall_FON_Calculations[[#This Row],[Funded Credit FTES
2025-26 P1 
(c )]]*(1-TableFall_FON_Calculations[[#This Row],[2025-26 P1
Deficit Percentage
(d)]])</f>
        <v>10337.938796462719</v>
      </c>
      <c r="H63" s="43">
        <f t="shared" si="3"/>
        <v>-256.12357238310506</v>
      </c>
      <c r="I63" s="44">
        <f t="shared" si="4"/>
        <v>-2.4176143528878299E-2</v>
      </c>
      <c r="J63" s="51">
        <f t="shared" si="5"/>
        <v>-6</v>
      </c>
      <c r="K63" s="50">
        <f>TableFall_FON_Calculations[[#This Row],[Base FON:
2024-25 Fall 2025 R1 FON
(a)]]+TableFall_FON_Calculations[[#This Row],[FTES Adjustment (rounded)
(h = a*g) ]]</f>
        <v>230.28219999999999</v>
      </c>
    </row>
    <row r="64" spans="2:11">
      <c r="B64" s="2" t="s">
        <v>57</v>
      </c>
      <c r="C64" s="10">
        <v>126.30240000000001</v>
      </c>
      <c r="D64" s="41">
        <v>6960.9193306061989</v>
      </c>
      <c r="E64" s="72">
        <v>6165.7218484555733</v>
      </c>
      <c r="F64" s="74">
        <v>3.0363765146923294E-2</v>
      </c>
      <c r="G64" s="47">
        <f>TableFall_FON_Calculations[[#This Row],[Funded Credit FTES
2025-26 P1 
(c )]]*(1-TableFall_FON_Calculations[[#This Row],[2025-26 P1
Deficit Percentage
(d)]])</f>
        <v>5978.5073182878141</v>
      </c>
      <c r="H64" s="48">
        <f t="shared" si="3"/>
        <v>-982.41201231838477</v>
      </c>
      <c r="I64" s="49">
        <f t="shared" si="4"/>
        <v>-0.14113250932227517</v>
      </c>
      <c r="J64" s="9">
        <f t="shared" si="5"/>
        <v>-18</v>
      </c>
      <c r="K64" s="50">
        <f>TableFall_FON_Calculations[[#This Row],[Base FON:
2024-25 Fall 2025 R1 FON
(a)]]+TableFall_FON_Calculations[[#This Row],[FTES Adjustment (rounded)
(h = a*g) ]]</f>
        <v>108.30240000000001</v>
      </c>
    </row>
    <row r="65" spans="2:11">
      <c r="B65" s="38" t="s">
        <v>58</v>
      </c>
      <c r="C65" s="39">
        <v>210.73349999999999</v>
      </c>
      <c r="D65" s="40">
        <v>13398.445635177301</v>
      </c>
      <c r="E65" s="72">
        <v>13716.131429616804</v>
      </c>
      <c r="F65" s="74">
        <v>0</v>
      </c>
      <c r="G65" s="42">
        <f>TableFall_FON_Calculations[[#This Row],[Funded Credit FTES
2025-26 P1 
(c )]]*(1-TableFall_FON_Calculations[[#This Row],[2025-26 P1
Deficit Percentage
(d)]])</f>
        <v>13716.131429616804</v>
      </c>
      <c r="H65" s="43">
        <f t="shared" si="3"/>
        <v>317.6857944395033</v>
      </c>
      <c r="I65" s="44">
        <f t="shared" si="4"/>
        <v>2.3710645480056792E-2</v>
      </c>
      <c r="J65" s="51">
        <f t="shared" si="5"/>
        <v>4</v>
      </c>
      <c r="K65" s="50">
        <f>TableFall_FON_Calculations[[#This Row],[Base FON:
2024-25 Fall 2025 R1 FON
(a)]]+TableFall_FON_Calculations[[#This Row],[FTES Adjustment (rounded)
(h = a*g) ]]</f>
        <v>214.73349999999999</v>
      </c>
    </row>
    <row r="66" spans="2:11">
      <c r="B66" s="2" t="s">
        <v>59</v>
      </c>
      <c r="C66" s="10">
        <v>24.056600000000003</v>
      </c>
      <c r="D66" s="41">
        <v>1532.6133333333335</v>
      </c>
      <c r="E66" s="72">
        <v>1508.3100000000002</v>
      </c>
      <c r="F66" s="74">
        <v>3.0363778271713882E-2</v>
      </c>
      <c r="G66" s="47">
        <f>TableFall_FON_Calculations[[#This Row],[Funded Credit FTES
2025-26 P1 
(c )]]*(1-TableFall_FON_Calculations[[#This Row],[2025-26 P1
Deficit Percentage
(d)]])</f>
        <v>1462.5120095949915</v>
      </c>
      <c r="H66" s="48">
        <f t="shared" si="3"/>
        <v>-70.101323738341989</v>
      </c>
      <c r="I66" s="49">
        <f t="shared" si="4"/>
        <v>-4.5739732399349683E-2</v>
      </c>
      <c r="J66" s="9">
        <f t="shared" si="5"/>
        <v>-2</v>
      </c>
      <c r="K66" s="50">
        <f>TableFall_FON_Calculations[[#This Row],[Base FON:
2024-25 Fall 2025 R1 FON
(a)]]+TableFall_FON_Calculations[[#This Row],[FTES Adjustment (rounded)
(h = a*g) ]]</f>
        <v>22.056600000000003</v>
      </c>
    </row>
    <row r="67" spans="2:11">
      <c r="B67" s="38" t="s">
        <v>60</v>
      </c>
      <c r="C67" s="39">
        <v>128.7518</v>
      </c>
      <c r="D67" s="40">
        <v>6757.7003112330849</v>
      </c>
      <c r="E67" s="72">
        <v>6533.7182196143194</v>
      </c>
      <c r="F67" s="74">
        <v>3.0363761966871627E-2</v>
      </c>
      <c r="G67" s="42">
        <f>TableFall_FON_Calculations[[#This Row],[Funded Credit FTES
2025-26 P1 
(c )]]*(1-TableFall_FON_Calculations[[#This Row],[2025-26 P1
Deficit Percentage
(d)]])</f>
        <v>6335.329954835338</v>
      </c>
      <c r="H67" s="43">
        <f t="shared" si="3"/>
        <v>-422.37035639774695</v>
      </c>
      <c r="I67" s="44">
        <f t="shared" si="4"/>
        <v>-6.2502084576857561E-2</v>
      </c>
      <c r="J67" s="51">
        <f t="shared" si="5"/>
        <v>-9</v>
      </c>
      <c r="K67" s="50">
        <f>TableFall_FON_Calculations[[#This Row],[Base FON:
2024-25 Fall 2025 R1 FON
(a)]]+TableFall_FON_Calculations[[#This Row],[FTES Adjustment (rounded)
(h = a*g) ]]</f>
        <v>119.7518</v>
      </c>
    </row>
    <row r="68" spans="2:11">
      <c r="B68" s="2" t="s">
        <v>61</v>
      </c>
      <c r="C68" s="10">
        <v>268.63409999999999</v>
      </c>
      <c r="D68" s="41">
        <v>14146</v>
      </c>
      <c r="E68" s="72">
        <v>12571.683333333332</v>
      </c>
      <c r="F68" s="74">
        <v>3.0363762422587537E-2</v>
      </c>
      <c r="G68" s="47">
        <f>TableFall_FON_Calculations[[#This Row],[Funded Credit FTES
2025-26 P1 
(c )]]*(1-TableFall_FON_Calculations[[#This Row],[2025-26 P1
Deficit Percentage
(d)]])</f>
        <v>12189.959727347996</v>
      </c>
      <c r="H68" s="48">
        <f t="shared" si="3"/>
        <v>-1956.0402726520042</v>
      </c>
      <c r="I68" s="49">
        <f t="shared" si="4"/>
        <v>-0.13827515005316021</v>
      </c>
      <c r="J68" s="9">
        <f t="shared" si="5"/>
        <v>-38</v>
      </c>
      <c r="K68" s="50">
        <f>TableFall_FON_Calculations[[#This Row],[Base FON:
2024-25 Fall 2025 R1 FON
(a)]]+TableFall_FON_Calculations[[#This Row],[FTES Adjustment (rounded)
(h = a*g) ]]</f>
        <v>230.63409999999999</v>
      </c>
    </row>
    <row r="69" spans="2:11">
      <c r="B69" s="38" t="s">
        <v>62</v>
      </c>
      <c r="C69" s="39">
        <v>406.79559999999998</v>
      </c>
      <c r="D69" s="40">
        <v>22819.549616225562</v>
      </c>
      <c r="E69" s="72">
        <v>22498.054132242403</v>
      </c>
      <c r="F69" s="74">
        <v>0</v>
      </c>
      <c r="G69" s="42">
        <f>TableFall_FON_Calculations[[#This Row],[Funded Credit FTES
2025-26 P1 
(c )]]*(1-TableFall_FON_Calculations[[#This Row],[2025-26 P1
Deficit Percentage
(d)]])</f>
        <v>22498.054132242403</v>
      </c>
      <c r="H69" s="43">
        <f t="shared" si="3"/>
        <v>-321.49548398315892</v>
      </c>
      <c r="I69" s="44">
        <f t="shared" si="4"/>
        <v>-1.408859900348618E-2</v>
      </c>
      <c r="J69" s="51">
        <f t="shared" si="5"/>
        <v>-6</v>
      </c>
      <c r="K69" s="50">
        <f>TableFall_FON_Calculations[[#This Row],[Base FON:
2024-25 Fall 2025 R1 FON
(a)]]+TableFall_FON_Calculations[[#This Row],[FTES Adjustment (rounded)
(h = a*g) ]]</f>
        <v>400.79559999999998</v>
      </c>
    </row>
    <row r="70" spans="2:11">
      <c r="B70" s="2" t="s">
        <v>63</v>
      </c>
      <c r="C70" s="10">
        <v>287.16680000000002</v>
      </c>
      <c r="D70" s="41">
        <v>15581.932827468399</v>
      </c>
      <c r="E70" s="72">
        <v>15668.351255731224</v>
      </c>
      <c r="F70" s="74">
        <v>3.0363761832821079E-2</v>
      </c>
      <c r="G70" s="47">
        <f>TableFall_FON_Calculations[[#This Row],[Funded Credit FTES
2025-26 P1 
(c )]]*(1-TableFall_FON_Calculations[[#This Row],[2025-26 P1
Deficit Percentage
(d)]])</f>
        <v>15192.601169889218</v>
      </c>
      <c r="H70" s="48">
        <f t="shared" si="3"/>
        <v>-389.33165757918141</v>
      </c>
      <c r="I70" s="49">
        <f t="shared" si="4"/>
        <v>-2.4986095235428905E-2</v>
      </c>
      <c r="J70" s="9">
        <f t="shared" si="5"/>
        <v>-8</v>
      </c>
      <c r="K70" s="50">
        <f>TableFall_FON_Calculations[[#This Row],[Base FON:
2024-25 Fall 2025 R1 FON
(a)]]+TableFall_FON_Calculations[[#This Row],[FTES Adjustment (rounded)
(h = a*g) ]]</f>
        <v>279.16680000000002</v>
      </c>
    </row>
    <row r="71" spans="2:11">
      <c r="B71" s="38" t="s">
        <v>64</v>
      </c>
      <c r="C71" s="39">
        <v>668.25130000000001</v>
      </c>
      <c r="D71" s="40">
        <v>33076.019481169278</v>
      </c>
      <c r="E71" s="72">
        <v>33537.393305859609</v>
      </c>
      <c r="F71" s="74">
        <v>3.0363760761927594E-2</v>
      </c>
      <c r="G71" s="42">
        <f>TableFall_FON_Calculations[[#This Row],[Funded Credit FTES
2025-26 P1 
(c )]]*(1-TableFall_FON_Calculations[[#This Row],[2025-26 P1
Deficit Percentage
(d)]])</f>
        <v>32519.071918941816</v>
      </c>
      <c r="H71" s="43">
        <f t="shared" ref="H71:H78" si="6">G71-D71</f>
        <v>-556.94756222746219</v>
      </c>
      <c r="I71" s="44">
        <f t="shared" ref="I71:I79" si="7">H71/D71</f>
        <v>-1.6838409547573933E-2</v>
      </c>
      <c r="J71" s="51">
        <f t="shared" ref="J71:J78" si="8">IF(C71*I71&gt;=0,ROUNDDOWN(C71*I71,0),ROUNDUP(C71*I71,0))</f>
        <v>-12</v>
      </c>
      <c r="K71" s="50">
        <f>TableFall_FON_Calculations[[#This Row],[Base FON:
2024-25 Fall 2025 R1 FON
(a)]]+TableFall_FON_Calculations[[#This Row],[FTES Adjustment (rounded)
(h = a*g) ]]</f>
        <v>656.25130000000001</v>
      </c>
    </row>
    <row r="72" spans="2:11">
      <c r="B72" s="2" t="s">
        <v>65</v>
      </c>
      <c r="C72" s="10">
        <v>432.83260000000001</v>
      </c>
      <c r="D72" s="41">
        <v>24618.259999999995</v>
      </c>
      <c r="E72" s="72">
        <v>24287.75333333333</v>
      </c>
      <c r="F72" s="74">
        <v>3.0363760897329062E-2</v>
      </c>
      <c r="G72" s="47">
        <f>TableFall_FON_Calculations[[#This Row],[Funded Credit FTES
2025-26 P1 
(c )]]*(1-TableFall_FON_Calculations[[#This Row],[2025-26 P1
Deficit Percentage
(d)]])</f>
        <v>23550.285798386689</v>
      </c>
      <c r="H72" s="48">
        <f t="shared" si="6"/>
        <v>-1067.9742016133059</v>
      </c>
      <c r="I72" s="49">
        <f t="shared" si="7"/>
        <v>-4.3381384452569199E-2</v>
      </c>
      <c r="J72" s="9">
        <f t="shared" si="8"/>
        <v>-19</v>
      </c>
      <c r="K72" s="50">
        <f>TableFall_FON_Calculations[[#This Row],[Base FON:
2024-25 Fall 2025 R1 FON
(a)]]+TableFall_FON_Calculations[[#This Row],[FTES Adjustment (rounded)
(h = a*g) ]]</f>
        <v>413.83260000000001</v>
      </c>
    </row>
    <row r="73" spans="2:11">
      <c r="B73" s="38" t="s">
        <v>66</v>
      </c>
      <c r="C73" s="39">
        <v>165.01429999999999</v>
      </c>
      <c r="D73" s="40">
        <v>11288.944869468245</v>
      </c>
      <c r="E73" s="72">
        <v>11449.486621025957</v>
      </c>
      <c r="F73" s="74">
        <v>3.0363765840801027E-2</v>
      </c>
      <c r="G73" s="42">
        <f>TableFall_FON_Calculations[[#This Row],[Funded Credit FTES
2025-26 P1 
(c )]]*(1-TableFall_FON_Calculations[[#This Row],[2025-26 P1
Deficit Percentage
(d)]])</f>
        <v>11101.83709026774</v>
      </c>
      <c r="H73" s="43">
        <f t="shared" si="6"/>
        <v>-187.10777920050532</v>
      </c>
      <c r="I73" s="44">
        <f t="shared" si="7"/>
        <v>-1.6574425808965693E-2</v>
      </c>
      <c r="J73" s="51">
        <f t="shared" si="8"/>
        <v>-3</v>
      </c>
      <c r="K73" s="50">
        <f>TableFall_FON_Calculations[[#This Row],[Base FON:
2024-25 Fall 2025 R1 FON
(a)]]+TableFall_FON_Calculations[[#This Row],[FTES Adjustment (rounded)
(h = a*g) ]]</f>
        <v>162.01429999999999</v>
      </c>
    </row>
    <row r="74" spans="2:11">
      <c r="B74" s="2" t="s">
        <v>67</v>
      </c>
      <c r="C74" s="10">
        <v>96.5732</v>
      </c>
      <c r="D74" s="41">
        <v>5505.2724335614239</v>
      </c>
      <c r="E74" s="72">
        <v>5366.2248809684706</v>
      </c>
      <c r="F74" s="74">
        <v>3.036375744254094E-2</v>
      </c>
      <c r="G74" s="47">
        <f>TableFall_FON_Calculations[[#This Row],[Funded Credit FTES
2025-26 P1 
(c )]]*(1-TableFall_FON_Calculations[[#This Row],[2025-26 P1
Deficit Percentage
(d)]])</f>
        <v>5203.2861303006157</v>
      </c>
      <c r="H74" s="48">
        <f t="shared" si="6"/>
        <v>-301.9863032608082</v>
      </c>
      <c r="I74" s="49">
        <f t="shared" si="7"/>
        <v>-5.4854016200874878E-2</v>
      </c>
      <c r="J74" s="9">
        <f t="shared" si="8"/>
        <v>-6</v>
      </c>
      <c r="K74" s="50">
        <f>TableFall_FON_Calculations[[#This Row],[Base FON:
2024-25 Fall 2025 R1 FON
(a)]]+TableFall_FON_Calculations[[#This Row],[FTES Adjustment (rounded)
(h = a*g) ]]</f>
        <v>90.5732</v>
      </c>
    </row>
    <row r="75" spans="2:11">
      <c r="B75" s="38" t="s">
        <v>68</v>
      </c>
      <c r="C75" s="39">
        <v>55.719899999999996</v>
      </c>
      <c r="D75" s="40">
        <v>2514.2966666666666</v>
      </c>
      <c r="E75" s="72">
        <v>2123.0933333333332</v>
      </c>
      <c r="F75" s="74">
        <v>3.0363757727203455E-2</v>
      </c>
      <c r="G75" s="42">
        <f>TableFall_FON_Calculations[[#This Row],[Funded Credit FTES
2025-26 P1 
(c )]]*(1-TableFall_FON_Calculations[[#This Row],[2025-26 P1
Deficit Percentage
(d)]])</f>
        <v>2058.6282417277589</v>
      </c>
      <c r="H75" s="43">
        <f t="shared" si="6"/>
        <v>-455.66842493890772</v>
      </c>
      <c r="I75" s="44">
        <f t="shared" si="7"/>
        <v>-0.1812309704657927</v>
      </c>
      <c r="J75" s="51">
        <f t="shared" si="8"/>
        <v>-11</v>
      </c>
      <c r="K75" s="50">
        <f>TableFall_FON_Calculations[[#This Row],[Base FON:
2024-25 Fall 2025 R1 FON
(a)]]+TableFall_FON_Calculations[[#This Row],[FTES Adjustment (rounded)
(h = a*g) ]]</f>
        <v>44.719899999999996</v>
      </c>
    </row>
    <row r="76" spans="2:11">
      <c r="B76" s="2" t="s">
        <v>69</v>
      </c>
      <c r="C76" s="10">
        <v>213.1437</v>
      </c>
      <c r="D76" s="41">
        <v>10212.369174553934</v>
      </c>
      <c r="E76" s="72">
        <v>10563.590090408696</v>
      </c>
      <c r="F76" s="74">
        <v>0</v>
      </c>
      <c r="G76" s="47">
        <f>TableFall_FON_Calculations[[#This Row],[Funded Credit FTES
2025-26 P1 
(c )]]*(1-TableFall_FON_Calculations[[#This Row],[2025-26 P1
Deficit Percentage
(d)]])</f>
        <v>10563.590090408696</v>
      </c>
      <c r="H76" s="48">
        <f t="shared" si="6"/>
        <v>351.22091585476119</v>
      </c>
      <c r="I76" s="49">
        <f t="shared" si="7"/>
        <v>3.4391717519368092E-2</v>
      </c>
      <c r="J76" s="9">
        <f t="shared" si="8"/>
        <v>7</v>
      </c>
      <c r="K76" s="50">
        <f>TableFall_FON_Calculations[[#This Row],[Base FON:
2024-25 Fall 2025 R1 FON
(a)]]+TableFall_FON_Calculations[[#This Row],[FTES Adjustment (rounded)
(h = a*g) ]]</f>
        <v>220.1437</v>
      </c>
    </row>
    <row r="77" spans="2:11">
      <c r="B77" s="38" t="s">
        <v>70</v>
      </c>
      <c r="C77" s="39">
        <v>319.23689999999999</v>
      </c>
      <c r="D77" s="40">
        <v>16447.310006898813</v>
      </c>
      <c r="E77" s="72">
        <v>16037.98389156745</v>
      </c>
      <c r="F77" s="74">
        <v>3.0363759389422484E-2</v>
      </c>
      <c r="G77" s="42">
        <f>TableFall_FON_Calculations[[#This Row],[Funded Credit FTES
2025-26 P1 
(c )]]*(1-TableFall_FON_Calculations[[#This Row],[2025-26 P1
Deficit Percentage
(d)]])</f>
        <v>15551.010407592463</v>
      </c>
      <c r="H77" s="43">
        <f t="shared" si="6"/>
        <v>-896.2995993063505</v>
      </c>
      <c r="I77" s="44">
        <f t="shared" si="7"/>
        <v>-5.4495209181951228E-2</v>
      </c>
      <c r="J77" s="51">
        <f t="shared" si="8"/>
        <v>-18</v>
      </c>
      <c r="K77" s="50">
        <f>TableFall_FON_Calculations[[#This Row],[Base FON:
2024-25 Fall 2025 R1 FON
(a)]]+TableFall_FON_Calculations[[#This Row],[FTES Adjustment (rounded)
(h = a*g) ]]</f>
        <v>301.23689999999999</v>
      </c>
    </row>
    <row r="78" spans="2:11" ht="15.75" thickBot="1">
      <c r="B78" s="2" t="s">
        <v>71</v>
      </c>
      <c r="C78" s="10">
        <v>103.10639999999999</v>
      </c>
      <c r="D78" s="41">
        <v>7288.590000000002</v>
      </c>
      <c r="E78" s="72">
        <v>6763.2833333333338</v>
      </c>
      <c r="F78" s="74">
        <v>3.0363760131597917E-2</v>
      </c>
      <c r="G78" s="47">
        <f>TableFall_FON_Calculations[[#This Row],[Funded Credit FTES
2025-26 P1 
(c )]]*(1-TableFall_FON_Calculations[[#This Row],[2025-26 P1
Deficit Percentage
(d)]])</f>
        <v>6557.9246204979663</v>
      </c>
      <c r="H78" s="48">
        <f t="shared" si="6"/>
        <v>-730.66537950203565</v>
      </c>
      <c r="I78" s="49">
        <f t="shared" si="7"/>
        <v>-0.10024783661888451</v>
      </c>
      <c r="J78" s="9">
        <f t="shared" si="8"/>
        <v>-11</v>
      </c>
      <c r="K78" s="50">
        <f>TableFall_FON_Calculations[[#This Row],[Base FON:
2024-25 Fall 2025 R1 FON
(a)]]+TableFall_FON_Calculations[[#This Row],[FTES Adjustment (rounded)
(h = a*g) ]]</f>
        <v>92.106399999999994</v>
      </c>
    </row>
    <row r="79" spans="2:11" ht="16.5" thickTop="1" thickBot="1">
      <c r="B79" s="52" t="s">
        <v>89</v>
      </c>
      <c r="C79" s="53">
        <f>SUBTOTAL(109,TableFall_FON_Calculations[Base FON:
2024-25 Fall 2025 R1 FON
(a)])</f>
        <v>17990.251999999997</v>
      </c>
      <c r="D79" s="73">
        <f>SUBTOTAL(109,TableFall_FON_Calculations[Base FTES: 
2024-25 R1 Funded Credit FTES
(b)])</f>
        <v>1011758.4716278843</v>
      </c>
      <c r="E79" s="73">
        <f>SUBTOTAL(109,TableFall_FON_Calculations[Funded Credit FTES
2025-26 P1 
(c )])</f>
        <v>993658.58375357545</v>
      </c>
      <c r="F79" s="54" t="s">
        <v>137</v>
      </c>
      <c r="G79" s="55">
        <f>SUBTOTAL(109,TableFall_FON_Calculations[Funded Credit FTES adjusted by Deficit Percentage
(e = c*(1-d))])</f>
        <v>966791.5476854922</v>
      </c>
      <c r="H79" s="56">
        <f>SUBTOTAL(109,TableFall_FON_Calculations[Change in FTES 
Growth (Decline)
(f = e-b)])</f>
        <v>-44966.923942392663</v>
      </c>
      <c r="I79" s="57">
        <f t="shared" si="7"/>
        <v>-4.4444326589173445E-2</v>
      </c>
      <c r="J79" s="56">
        <f>SUBTOTAL(109,TableFall_FON_Calculations[FTES Adjustment (rounded)
(h = a*g) ])</f>
        <v>-829</v>
      </c>
      <c r="K79" s="53">
        <f>SUBTOTAL(109,TableFall_FON_Calculations[Fall 2026 Estimated P1 FON
(i =  a+ h)])</f>
        <v>17161.251999999997</v>
      </c>
    </row>
    <row r="80" spans="2:11" ht="15.75" thickTop="1"/>
    <row r="81" spans="1:11">
      <c r="A81" s="15" t="s">
        <v>85</v>
      </c>
      <c r="B81" s="15">
        <v>1</v>
      </c>
      <c r="C81" s="15">
        <v>2</v>
      </c>
      <c r="D81" s="15">
        <v>3</v>
      </c>
      <c r="E81" s="15">
        <v>4</v>
      </c>
      <c r="F81" s="15">
        <v>5</v>
      </c>
      <c r="G81" s="15">
        <v>6</v>
      </c>
      <c r="H81" s="15">
        <v>7</v>
      </c>
      <c r="I81" s="15">
        <v>8</v>
      </c>
      <c r="J81" s="15">
        <v>9</v>
      </c>
      <c r="K81" s="15">
        <v>10</v>
      </c>
    </row>
    <row r="84" spans="1:11">
      <c r="D84" s="58"/>
      <c r="E84" s="58"/>
    </row>
  </sheetData>
  <pageMargins left="0.45" right="0" top="0.5" bottom="0.5" header="0.3" footer="0.3"/>
  <pageSetup scale="63" orientation="landscape" r:id="rId1"/>
  <headerFooter>
    <oddFooter>&amp;R&amp;D</oddFooter>
  </headerFooter>
  <rowBreaks count="1" manualBreakCount="1">
    <brk id="44" max="16383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4ACE-8311-4269-8A62-4CC67634A405}">
  <dimension ref="A1:H79"/>
  <sheetViews>
    <sheetView showGridLines="0" workbookViewId="0">
      <selection activeCell="B4" sqref="B4"/>
    </sheetView>
  </sheetViews>
  <sheetFormatPr defaultRowHeight="15"/>
  <cols>
    <col min="1" max="1" width="3.5703125" customWidth="1"/>
    <col min="2" max="2" width="20.7109375" customWidth="1"/>
    <col min="3" max="3" width="18.140625" customWidth="1"/>
    <col min="4" max="4" width="18" customWidth="1"/>
    <col min="5" max="6" width="18.42578125" customWidth="1"/>
    <col min="7" max="7" width="19.28515625" customWidth="1"/>
    <col min="8" max="8" width="5.28515625" customWidth="1"/>
  </cols>
  <sheetData>
    <row r="1" spans="1:8" ht="25.35" customHeight="1">
      <c r="A1" s="32" t="s">
        <v>90</v>
      </c>
      <c r="B1" s="33"/>
      <c r="C1" s="33"/>
    </row>
    <row r="2" spans="1:8" ht="26.25" customHeight="1">
      <c r="A2" s="32" t="s">
        <v>140</v>
      </c>
    </row>
    <row r="3" spans="1:8" ht="5.0999999999999996" customHeight="1" thickBot="1">
      <c r="B3" s="12"/>
      <c r="C3" s="11"/>
      <c r="D3" s="11"/>
      <c r="E3" s="11"/>
      <c r="F3" s="11"/>
      <c r="G3" s="11"/>
    </row>
    <row r="4" spans="1:8" ht="44.25" customHeight="1" thickBot="1">
      <c r="B4" s="31" t="s">
        <v>72</v>
      </c>
      <c r="C4" s="30" t="s">
        <v>161</v>
      </c>
      <c r="D4" s="30" t="s">
        <v>162</v>
      </c>
      <c r="E4" s="30" t="s">
        <v>165</v>
      </c>
      <c r="F4" s="30" t="s">
        <v>163</v>
      </c>
      <c r="G4" s="29" t="s">
        <v>164</v>
      </c>
    </row>
    <row r="5" spans="1:8" ht="15.75" thickTop="1">
      <c r="B5" s="28" t="s">
        <v>0</v>
      </c>
      <c r="C5" s="27">
        <v>122.6241</v>
      </c>
      <c r="D5" s="27">
        <v>157.74</v>
      </c>
      <c r="E5" s="27">
        <v>132.6241</v>
      </c>
      <c r="F5" s="27">
        <v>128.6241</v>
      </c>
      <c r="G5" s="26">
        <f>IF(E5&lt;F5,E5,F5)</f>
        <v>128.6241</v>
      </c>
      <c r="H5" s="25"/>
    </row>
    <row r="6" spans="1:8">
      <c r="B6" s="21" t="s">
        <v>1</v>
      </c>
      <c r="C6" s="20">
        <v>140.36279999999999</v>
      </c>
      <c r="D6" s="20">
        <v>190.5</v>
      </c>
      <c r="E6" s="20">
        <v>160.36279999999999</v>
      </c>
      <c r="F6" s="20">
        <v>159.36279999999999</v>
      </c>
      <c r="G6" s="19">
        <f t="shared" ref="G6:G36" si="0">IF(E6&lt;F6,E6,F6)</f>
        <v>159.36279999999999</v>
      </c>
    </row>
    <row r="7" spans="1:8">
      <c r="B7" s="24" t="s">
        <v>2</v>
      </c>
      <c r="C7" s="23">
        <v>27.333500000000001</v>
      </c>
      <c r="D7" s="23">
        <v>41.47</v>
      </c>
      <c r="E7" s="23">
        <v>30.333500000000001</v>
      </c>
      <c r="F7" s="23">
        <v>29.333500000000001</v>
      </c>
      <c r="G7" s="22">
        <f t="shared" si="0"/>
        <v>29.333500000000001</v>
      </c>
    </row>
    <row r="8" spans="1:8">
      <c r="B8" s="21" t="s">
        <v>3</v>
      </c>
      <c r="C8" s="20">
        <v>150.45410000000001</v>
      </c>
      <c r="D8" s="20">
        <v>189.02</v>
      </c>
      <c r="E8" s="20">
        <v>168.45410000000001</v>
      </c>
      <c r="F8" s="20">
        <v>168.45410000000001</v>
      </c>
      <c r="G8" s="19">
        <f t="shared" si="0"/>
        <v>168.45410000000001</v>
      </c>
    </row>
    <row r="9" spans="1:8">
      <c r="B9" s="24" t="s">
        <v>4</v>
      </c>
      <c r="C9" s="23">
        <v>163.76750000000001</v>
      </c>
      <c r="D9" s="23">
        <v>177.92000000000002</v>
      </c>
      <c r="E9" s="23">
        <v>184.76750000000001</v>
      </c>
      <c r="F9" s="23">
        <v>179.76750000000001</v>
      </c>
      <c r="G9" s="22">
        <f t="shared" si="0"/>
        <v>179.76750000000001</v>
      </c>
    </row>
    <row r="10" spans="1:8">
      <c r="B10" s="21" t="s">
        <v>5</v>
      </c>
      <c r="C10" s="20">
        <v>268.9939</v>
      </c>
      <c r="D10" s="20">
        <v>270</v>
      </c>
      <c r="E10" s="20">
        <v>289.9939</v>
      </c>
      <c r="F10" s="20">
        <v>266.9939</v>
      </c>
      <c r="G10" s="19">
        <f t="shared" si="0"/>
        <v>266.9939</v>
      </c>
    </row>
    <row r="11" spans="1:8">
      <c r="B11" s="24" t="s">
        <v>6</v>
      </c>
      <c r="C11" s="23">
        <v>242.96730000000002</v>
      </c>
      <c r="D11" s="23">
        <v>279</v>
      </c>
      <c r="E11" s="23">
        <v>278.96730000000002</v>
      </c>
      <c r="F11" s="23">
        <v>291.96730000000002</v>
      </c>
      <c r="G11" s="22">
        <f t="shared" si="0"/>
        <v>278.96730000000002</v>
      </c>
    </row>
    <row r="12" spans="1:8">
      <c r="B12" s="21" t="s">
        <v>7</v>
      </c>
      <c r="C12" s="20">
        <v>222.58510000000001</v>
      </c>
      <c r="D12" s="20">
        <v>246</v>
      </c>
      <c r="E12" s="20">
        <v>261.58510000000001</v>
      </c>
      <c r="F12" s="20">
        <v>257.58510000000001</v>
      </c>
      <c r="G12" s="19">
        <f t="shared" si="0"/>
        <v>257.58510000000001</v>
      </c>
    </row>
    <row r="13" spans="1:8">
      <c r="B13" s="24" t="s">
        <v>8</v>
      </c>
      <c r="C13" s="23">
        <v>146.0453</v>
      </c>
      <c r="D13" s="23">
        <v>159</v>
      </c>
      <c r="E13" s="23">
        <v>156.0453</v>
      </c>
      <c r="F13" s="23">
        <v>153.0453</v>
      </c>
      <c r="G13" s="22">
        <f t="shared" si="0"/>
        <v>153.0453</v>
      </c>
    </row>
    <row r="14" spans="1:8">
      <c r="B14" s="21" t="s">
        <v>9</v>
      </c>
      <c r="C14" s="20">
        <v>346.86709999999999</v>
      </c>
      <c r="D14" s="20">
        <v>405.09000000000003</v>
      </c>
      <c r="E14" s="20">
        <v>376.86709999999999</v>
      </c>
      <c r="F14" s="20">
        <v>361.86709999999999</v>
      </c>
      <c r="G14" s="19">
        <f t="shared" si="0"/>
        <v>361.86709999999999</v>
      </c>
    </row>
    <row r="15" spans="1:8">
      <c r="B15" s="24" t="s">
        <v>10</v>
      </c>
      <c r="C15" s="23">
        <v>29.951000000000001</v>
      </c>
      <c r="D15" s="23">
        <v>104</v>
      </c>
      <c r="E15" s="23">
        <v>32.951000000000001</v>
      </c>
      <c r="F15" s="23">
        <v>31.951000000000001</v>
      </c>
      <c r="G15" s="22">
        <f t="shared" si="0"/>
        <v>31.951000000000001</v>
      </c>
    </row>
    <row r="16" spans="1:8">
      <c r="B16" s="21" t="s">
        <v>11</v>
      </c>
      <c r="C16" s="20">
        <v>345.01979999999998</v>
      </c>
      <c r="D16" s="20">
        <v>470.13</v>
      </c>
      <c r="E16" s="20">
        <v>345.01979999999998</v>
      </c>
      <c r="F16" s="20">
        <v>343.01979999999998</v>
      </c>
      <c r="G16" s="19">
        <f t="shared" si="0"/>
        <v>343.01979999999998</v>
      </c>
    </row>
    <row r="17" spans="2:7">
      <c r="B17" s="24" t="s">
        <v>12</v>
      </c>
      <c r="C17" s="23">
        <v>6.6952999999999996</v>
      </c>
      <c r="D17" s="23">
        <v>49.7</v>
      </c>
      <c r="E17" s="23">
        <v>5.6952999999999996</v>
      </c>
      <c r="F17" s="23">
        <v>6.6952999999999996</v>
      </c>
      <c r="G17" s="22">
        <f t="shared" si="0"/>
        <v>5.6952999999999996</v>
      </c>
    </row>
    <row r="18" spans="2:7">
      <c r="B18" s="21" t="s">
        <v>13</v>
      </c>
      <c r="C18" s="20">
        <v>122.8176</v>
      </c>
      <c r="D18" s="20">
        <v>147</v>
      </c>
      <c r="E18" s="20">
        <v>145.8176</v>
      </c>
      <c r="F18" s="20">
        <v>138.8176</v>
      </c>
      <c r="G18" s="19">
        <f t="shared" si="0"/>
        <v>138.8176</v>
      </c>
    </row>
    <row r="19" spans="2:7">
      <c r="B19" s="24" t="s">
        <v>14</v>
      </c>
      <c r="C19" s="23">
        <v>296.95920000000001</v>
      </c>
      <c r="D19" s="23">
        <v>310.55</v>
      </c>
      <c r="E19" s="23">
        <v>340.95920000000001</v>
      </c>
      <c r="F19" s="23">
        <v>314.95920000000001</v>
      </c>
      <c r="G19" s="22">
        <f t="shared" si="0"/>
        <v>314.95920000000001</v>
      </c>
    </row>
    <row r="20" spans="2:7">
      <c r="B20" s="21" t="s">
        <v>15</v>
      </c>
      <c r="C20" s="20">
        <v>15.3188</v>
      </c>
      <c r="D20" s="20">
        <v>25</v>
      </c>
      <c r="E20" s="20">
        <v>18.3188</v>
      </c>
      <c r="F20" s="20">
        <v>17.3188</v>
      </c>
      <c r="G20" s="19">
        <f t="shared" si="0"/>
        <v>17.3188</v>
      </c>
    </row>
    <row r="21" spans="2:7">
      <c r="B21" s="24" t="s">
        <v>16</v>
      </c>
      <c r="C21" s="23">
        <v>326.55779999999999</v>
      </c>
      <c r="D21" s="23">
        <v>404.5</v>
      </c>
      <c r="E21" s="23">
        <v>381.55779999999999</v>
      </c>
      <c r="F21" s="23">
        <v>389.55779999999999</v>
      </c>
      <c r="G21" s="22">
        <f t="shared" si="0"/>
        <v>381.55779999999999</v>
      </c>
    </row>
    <row r="22" spans="2:7">
      <c r="B22" s="21" t="s">
        <v>17</v>
      </c>
      <c r="C22" s="20">
        <v>62.532399999999996</v>
      </c>
      <c r="D22" s="20">
        <v>77.87</v>
      </c>
      <c r="E22" s="20">
        <v>69.532399999999996</v>
      </c>
      <c r="F22" s="20">
        <v>69.532399999999996</v>
      </c>
      <c r="G22" s="19">
        <f t="shared" si="0"/>
        <v>69.532399999999996</v>
      </c>
    </row>
    <row r="23" spans="2:7">
      <c r="B23" s="24" t="s">
        <v>18</v>
      </c>
      <c r="C23" s="23">
        <v>179.0789</v>
      </c>
      <c r="D23" s="23">
        <v>217.4</v>
      </c>
      <c r="E23" s="23">
        <v>198.0789</v>
      </c>
      <c r="F23" s="23">
        <v>193.0789</v>
      </c>
      <c r="G23" s="22">
        <f t="shared" si="0"/>
        <v>193.0789</v>
      </c>
    </row>
    <row r="24" spans="2:7">
      <c r="B24" s="21" t="s">
        <v>19</v>
      </c>
      <c r="C24" s="20">
        <v>251.54349999999999</v>
      </c>
      <c r="D24" s="20">
        <v>283.95</v>
      </c>
      <c r="E24" s="20">
        <v>284.54349999999999</v>
      </c>
      <c r="F24" s="20">
        <v>283.54349999999999</v>
      </c>
      <c r="G24" s="19">
        <f t="shared" si="0"/>
        <v>283.54349999999999</v>
      </c>
    </row>
    <row r="25" spans="2:7">
      <c r="B25" s="24" t="s">
        <v>20</v>
      </c>
      <c r="C25" s="23">
        <v>110.95829999999999</v>
      </c>
      <c r="D25" s="23">
        <v>124.7</v>
      </c>
      <c r="E25" s="23">
        <v>129.95830000000001</v>
      </c>
      <c r="F25" s="23">
        <v>122.95830000000001</v>
      </c>
      <c r="G25" s="22">
        <f t="shared" si="0"/>
        <v>122.95830000000001</v>
      </c>
    </row>
    <row r="26" spans="2:7">
      <c r="B26" s="21" t="s">
        <v>21</v>
      </c>
      <c r="C26" s="20">
        <v>94.060599999999994</v>
      </c>
      <c r="D26" s="20">
        <v>98.34</v>
      </c>
      <c r="E26" s="20">
        <v>117.06059999999999</v>
      </c>
      <c r="F26" s="20">
        <v>115.06059999999999</v>
      </c>
      <c r="G26" s="19">
        <f t="shared" si="0"/>
        <v>115.06059999999999</v>
      </c>
    </row>
    <row r="27" spans="2:7">
      <c r="B27" s="24" t="s">
        <v>22</v>
      </c>
      <c r="C27" s="23">
        <v>484.78919999999994</v>
      </c>
      <c r="D27" s="23">
        <v>502</v>
      </c>
      <c r="E27" s="23">
        <v>561.78919999999994</v>
      </c>
      <c r="F27" s="23">
        <v>564.78919999999994</v>
      </c>
      <c r="G27" s="22">
        <f t="shared" si="0"/>
        <v>561.78919999999994</v>
      </c>
    </row>
    <row r="28" spans="2:7">
      <c r="B28" s="21" t="s">
        <v>23</v>
      </c>
      <c r="C28" s="20">
        <v>17.559999999999999</v>
      </c>
      <c r="D28" s="20">
        <v>37.25</v>
      </c>
      <c r="E28" s="20">
        <v>22.56</v>
      </c>
      <c r="F28" s="20">
        <v>22.56</v>
      </c>
      <c r="G28" s="19">
        <f t="shared" si="0"/>
        <v>22.56</v>
      </c>
    </row>
    <row r="29" spans="2:7">
      <c r="B29" s="24" t="s">
        <v>24</v>
      </c>
      <c r="C29" s="23">
        <v>11.046900000000001</v>
      </c>
      <c r="D29" s="23">
        <v>18.600000000000001</v>
      </c>
      <c r="E29" s="23">
        <v>16.046900000000001</v>
      </c>
      <c r="F29" s="23">
        <v>15.046900000000001</v>
      </c>
      <c r="G29" s="22">
        <f t="shared" si="0"/>
        <v>15.046900000000001</v>
      </c>
    </row>
    <row r="30" spans="2:7">
      <c r="B30" s="21" t="s">
        <v>25</v>
      </c>
      <c r="C30" s="20">
        <v>328.959</v>
      </c>
      <c r="D30" s="20">
        <v>347</v>
      </c>
      <c r="E30" s="20">
        <v>376.959</v>
      </c>
      <c r="F30" s="20">
        <v>361.959</v>
      </c>
      <c r="G30" s="19">
        <f t="shared" si="0"/>
        <v>361.959</v>
      </c>
    </row>
    <row r="31" spans="2:7">
      <c r="B31" s="24" t="s">
        <v>26</v>
      </c>
      <c r="C31" s="23">
        <v>1401.7841000000001</v>
      </c>
      <c r="D31" s="23">
        <v>1602.15</v>
      </c>
      <c r="E31" s="23">
        <v>1480.7841000000001</v>
      </c>
      <c r="F31" s="23">
        <v>1492.7841000000001</v>
      </c>
      <c r="G31" s="22">
        <f t="shared" si="0"/>
        <v>1480.7841000000001</v>
      </c>
    </row>
    <row r="32" spans="2:7">
      <c r="B32" s="21" t="s">
        <v>27</v>
      </c>
      <c r="C32" s="20">
        <v>812.10069999999996</v>
      </c>
      <c r="D32" s="20">
        <v>934.93000000000006</v>
      </c>
      <c r="E32" s="20">
        <v>914.10069999999996</v>
      </c>
      <c r="F32" s="20">
        <v>905.10069999999996</v>
      </c>
      <c r="G32" s="19">
        <f t="shared" si="0"/>
        <v>905.10069999999996</v>
      </c>
    </row>
    <row r="33" spans="2:7">
      <c r="B33" s="24" t="s">
        <v>28</v>
      </c>
      <c r="C33" s="23">
        <v>48.504600000000003</v>
      </c>
      <c r="D33" s="23">
        <v>126.97999999999999</v>
      </c>
      <c r="E33" s="23">
        <v>56.504600000000003</v>
      </c>
      <c r="F33" s="23">
        <v>55.504600000000003</v>
      </c>
      <c r="G33" s="22">
        <f t="shared" si="0"/>
        <v>55.504600000000003</v>
      </c>
    </row>
    <row r="34" spans="2:7">
      <c r="B34" s="21" t="s">
        <v>29</v>
      </c>
      <c r="C34" s="20">
        <v>34.740099999999998</v>
      </c>
      <c r="D34" s="20">
        <v>62</v>
      </c>
      <c r="E34" s="20">
        <v>41.740099999999998</v>
      </c>
      <c r="F34" s="20">
        <v>40.740099999999998</v>
      </c>
      <c r="G34" s="19">
        <f t="shared" si="0"/>
        <v>40.740099999999998</v>
      </c>
    </row>
    <row r="35" spans="2:7">
      <c r="B35" s="24" t="s">
        <v>30</v>
      </c>
      <c r="C35" s="23">
        <v>182.74430000000001</v>
      </c>
      <c r="D35" s="23">
        <v>185.79999999999998</v>
      </c>
      <c r="E35" s="23">
        <v>209.74430000000001</v>
      </c>
      <c r="F35" s="23">
        <v>200.74430000000001</v>
      </c>
      <c r="G35" s="22">
        <f t="shared" si="0"/>
        <v>200.74430000000001</v>
      </c>
    </row>
    <row r="36" spans="2:7">
      <c r="B36" s="21" t="s">
        <v>31</v>
      </c>
      <c r="C36" s="20">
        <v>134.2406</v>
      </c>
      <c r="D36" s="20">
        <v>210.28</v>
      </c>
      <c r="E36" s="20">
        <v>149.2406</v>
      </c>
      <c r="F36" s="20">
        <v>154.2406</v>
      </c>
      <c r="G36" s="19">
        <f t="shared" si="0"/>
        <v>149.2406</v>
      </c>
    </row>
    <row r="37" spans="2:7">
      <c r="B37" s="24" t="s">
        <v>32</v>
      </c>
      <c r="C37" s="23">
        <v>92.686800000000005</v>
      </c>
      <c r="D37" s="23">
        <v>110.65</v>
      </c>
      <c r="E37" s="23">
        <v>110.68680000000001</v>
      </c>
      <c r="F37" s="23">
        <v>109.68680000000001</v>
      </c>
      <c r="G37" s="22">
        <f t="shared" ref="G37:G68" si="1">IF(E37&lt;F37,E37,F37)</f>
        <v>109.68680000000001</v>
      </c>
    </row>
    <row r="38" spans="2:7">
      <c r="B38" s="21" t="s">
        <v>33</v>
      </c>
      <c r="C38" s="20">
        <v>406.09750000000003</v>
      </c>
      <c r="D38" s="20">
        <v>428</v>
      </c>
      <c r="E38" s="20">
        <v>459.09750000000003</v>
      </c>
      <c r="F38" s="20">
        <v>434.09750000000003</v>
      </c>
      <c r="G38" s="19">
        <f t="shared" si="1"/>
        <v>434.09750000000003</v>
      </c>
    </row>
    <row r="39" spans="2:7">
      <c r="B39" s="24" t="s">
        <v>34</v>
      </c>
      <c r="C39" s="23">
        <v>158.57810000000001</v>
      </c>
      <c r="D39" s="23">
        <v>199.7</v>
      </c>
      <c r="E39" s="23">
        <v>192.57810000000001</v>
      </c>
      <c r="F39" s="23">
        <v>184.57810000000001</v>
      </c>
      <c r="G39" s="22">
        <f t="shared" si="1"/>
        <v>184.57810000000001</v>
      </c>
    </row>
    <row r="40" spans="2:7">
      <c r="B40" s="21" t="s">
        <v>35</v>
      </c>
      <c r="C40" s="20">
        <v>52.383899999999997</v>
      </c>
      <c r="D40" s="20">
        <v>94.75</v>
      </c>
      <c r="E40" s="20">
        <v>59.383899999999997</v>
      </c>
      <c r="F40" s="20">
        <v>63.383899999999997</v>
      </c>
      <c r="G40" s="19">
        <f t="shared" si="1"/>
        <v>59.383899999999997</v>
      </c>
    </row>
    <row r="41" spans="2:7">
      <c r="B41" s="24" t="s">
        <v>36</v>
      </c>
      <c r="C41" s="23">
        <v>467.17700000000002</v>
      </c>
      <c r="D41" s="23">
        <v>538</v>
      </c>
      <c r="E41" s="23">
        <v>525.17700000000002</v>
      </c>
      <c r="F41" s="23">
        <v>520.17700000000002</v>
      </c>
      <c r="G41" s="22">
        <f t="shared" si="1"/>
        <v>520.17700000000002</v>
      </c>
    </row>
    <row r="42" spans="2:7">
      <c r="B42" s="21" t="s">
        <v>37</v>
      </c>
      <c r="C42" s="20">
        <v>87.644300000000001</v>
      </c>
      <c r="D42" s="20">
        <v>104</v>
      </c>
      <c r="E42" s="20">
        <v>104.6443</v>
      </c>
      <c r="F42" s="20">
        <v>105.6443</v>
      </c>
      <c r="G42" s="19">
        <f t="shared" si="1"/>
        <v>104.6443</v>
      </c>
    </row>
    <row r="43" spans="2:7">
      <c r="B43" s="24" t="s">
        <v>38</v>
      </c>
      <c r="C43" s="23">
        <v>27.435300000000002</v>
      </c>
      <c r="D43" s="23">
        <v>49</v>
      </c>
      <c r="E43" s="23">
        <v>30.435300000000002</v>
      </c>
      <c r="F43" s="23">
        <v>31.435299999999998</v>
      </c>
      <c r="G43" s="22">
        <f t="shared" si="1"/>
        <v>30.435300000000002</v>
      </c>
    </row>
    <row r="44" spans="2:7">
      <c r="B44" s="21" t="s">
        <v>39</v>
      </c>
      <c r="C44" s="20">
        <v>227.1318</v>
      </c>
      <c r="D44" s="20">
        <v>282.75</v>
      </c>
      <c r="E44" s="20">
        <v>239.1318</v>
      </c>
      <c r="F44" s="20">
        <v>233.1318</v>
      </c>
      <c r="G44" s="19">
        <f t="shared" si="1"/>
        <v>233.1318</v>
      </c>
    </row>
    <row r="45" spans="2:7">
      <c r="B45" s="24" t="s">
        <v>40</v>
      </c>
      <c r="C45" s="23">
        <v>372.36059999999998</v>
      </c>
      <c r="D45" s="23">
        <v>425</v>
      </c>
      <c r="E45" s="23">
        <v>416.36059999999998</v>
      </c>
      <c r="F45" s="23">
        <v>409.36059999999998</v>
      </c>
      <c r="G45" s="22">
        <f t="shared" si="1"/>
        <v>409.36059999999998</v>
      </c>
    </row>
    <row r="46" spans="2:7">
      <c r="B46" s="21" t="s">
        <v>41</v>
      </c>
      <c r="C46" s="20">
        <v>244.85899999999998</v>
      </c>
      <c r="D46" s="20">
        <v>291.52</v>
      </c>
      <c r="E46" s="20">
        <v>241.85899999999998</v>
      </c>
      <c r="F46" s="20">
        <v>234.85899999999998</v>
      </c>
      <c r="G46" s="19">
        <f t="shared" si="1"/>
        <v>234.85899999999998</v>
      </c>
    </row>
    <row r="47" spans="2:7">
      <c r="B47" s="24" t="s">
        <v>42</v>
      </c>
      <c r="C47" s="23">
        <v>315.36529999999999</v>
      </c>
      <c r="D47" s="23">
        <v>348</v>
      </c>
      <c r="E47" s="23">
        <v>357.36529999999999</v>
      </c>
      <c r="F47" s="23">
        <v>337.36529999999999</v>
      </c>
      <c r="G47" s="22">
        <f t="shared" si="1"/>
        <v>337.36529999999999</v>
      </c>
    </row>
    <row r="48" spans="2:7">
      <c r="B48" s="21" t="s">
        <v>43</v>
      </c>
      <c r="C48" s="20">
        <v>54.157499999999999</v>
      </c>
      <c r="D48" s="20">
        <v>70.89</v>
      </c>
      <c r="E48" s="20">
        <v>62.157499999999999</v>
      </c>
      <c r="F48" s="20">
        <v>61.157499999999999</v>
      </c>
      <c r="G48" s="19">
        <f t="shared" si="1"/>
        <v>61.157499999999999</v>
      </c>
    </row>
    <row r="49" spans="2:7">
      <c r="B49" s="24" t="s">
        <v>44</v>
      </c>
      <c r="C49" s="23">
        <v>182.8244</v>
      </c>
      <c r="D49" s="23">
        <v>202.26</v>
      </c>
      <c r="E49" s="23">
        <v>190.8244</v>
      </c>
      <c r="F49" s="23">
        <v>189.8244</v>
      </c>
      <c r="G49" s="22">
        <f t="shared" si="1"/>
        <v>189.8244</v>
      </c>
    </row>
    <row r="50" spans="2:7">
      <c r="B50" s="21" t="s">
        <v>45</v>
      </c>
      <c r="C50" s="20">
        <v>422.35449999999997</v>
      </c>
      <c r="D50" s="20">
        <v>506.64000000000004</v>
      </c>
      <c r="E50" s="20">
        <v>487.35449999999997</v>
      </c>
      <c r="F50" s="20">
        <v>474.35449999999997</v>
      </c>
      <c r="G50" s="19">
        <f t="shared" si="1"/>
        <v>474.35449999999997</v>
      </c>
    </row>
    <row r="51" spans="2:7">
      <c r="B51" s="24" t="s">
        <v>46</v>
      </c>
      <c r="C51" s="23">
        <v>213.38229999999999</v>
      </c>
      <c r="D51" s="23">
        <v>262.19</v>
      </c>
      <c r="E51" s="23">
        <v>258.38229999999999</v>
      </c>
      <c r="F51" s="23">
        <v>249.38229999999999</v>
      </c>
      <c r="G51" s="22">
        <f t="shared" si="1"/>
        <v>249.38229999999999</v>
      </c>
    </row>
    <row r="52" spans="2:7">
      <c r="B52" s="21" t="s">
        <v>47</v>
      </c>
      <c r="C52" s="20">
        <v>457.00289999999995</v>
      </c>
      <c r="D52" s="20">
        <v>595.72</v>
      </c>
      <c r="E52" s="20">
        <v>511.00289999999995</v>
      </c>
      <c r="F52" s="20">
        <v>489.00289999999995</v>
      </c>
      <c r="G52" s="19">
        <f t="shared" si="1"/>
        <v>489.00289999999995</v>
      </c>
    </row>
    <row r="53" spans="2:7">
      <c r="B53" s="24" t="s">
        <v>48</v>
      </c>
      <c r="C53" s="23">
        <v>131.06739999999999</v>
      </c>
      <c r="D53" s="23">
        <v>338.96</v>
      </c>
      <c r="E53" s="23">
        <v>161.06739999999999</v>
      </c>
      <c r="F53" s="23">
        <v>157.06739999999999</v>
      </c>
      <c r="G53" s="22">
        <f t="shared" si="1"/>
        <v>157.06739999999999</v>
      </c>
    </row>
    <row r="54" spans="2:7">
      <c r="B54" s="21" t="s">
        <v>49</v>
      </c>
      <c r="C54" s="20">
        <v>225.05119999999999</v>
      </c>
      <c r="D54" s="20">
        <v>247.29999999999998</v>
      </c>
      <c r="E54" s="20">
        <v>246.05119999999999</v>
      </c>
      <c r="F54" s="20">
        <v>251.05119999999999</v>
      </c>
      <c r="G54" s="19">
        <f t="shared" si="1"/>
        <v>246.05119999999999</v>
      </c>
    </row>
    <row r="55" spans="2:7">
      <c r="B55" s="24" t="s">
        <v>50</v>
      </c>
      <c r="C55" s="23">
        <v>149.82929999999999</v>
      </c>
      <c r="D55" s="23">
        <v>234.89</v>
      </c>
      <c r="E55" s="23">
        <v>166.82929999999999</v>
      </c>
      <c r="F55" s="23">
        <v>168.82929999999999</v>
      </c>
      <c r="G55" s="22">
        <f t="shared" si="1"/>
        <v>166.82929999999999</v>
      </c>
    </row>
    <row r="56" spans="2:7">
      <c r="B56" s="21" t="s">
        <v>51</v>
      </c>
      <c r="C56" s="20">
        <v>113.1765</v>
      </c>
      <c r="D56" s="20">
        <v>140.42000000000002</v>
      </c>
      <c r="E56" s="20">
        <v>121.1765</v>
      </c>
      <c r="F56" s="20">
        <v>122.1765</v>
      </c>
      <c r="G56" s="19">
        <f t="shared" si="1"/>
        <v>121.1765</v>
      </c>
    </row>
    <row r="57" spans="2:7">
      <c r="B57" s="24" t="s">
        <v>52</v>
      </c>
      <c r="C57" s="23">
        <v>235.73450000000003</v>
      </c>
      <c r="D57" s="23">
        <v>370.15</v>
      </c>
      <c r="E57" s="23">
        <v>280.73450000000003</v>
      </c>
      <c r="F57" s="23">
        <v>283.73450000000003</v>
      </c>
      <c r="G57" s="22">
        <f t="shared" si="1"/>
        <v>280.73450000000003</v>
      </c>
    </row>
    <row r="58" spans="2:7">
      <c r="B58" s="21" t="s">
        <v>53</v>
      </c>
      <c r="C58" s="20">
        <v>184.14959999999999</v>
      </c>
      <c r="D58" s="20">
        <v>198</v>
      </c>
      <c r="E58" s="20">
        <v>203.14959999999999</v>
      </c>
      <c r="F58" s="20">
        <v>191.14959999999999</v>
      </c>
      <c r="G58" s="19">
        <f t="shared" si="1"/>
        <v>191.14959999999999</v>
      </c>
    </row>
    <row r="59" spans="2:7">
      <c r="B59" s="24" t="s">
        <v>54</v>
      </c>
      <c r="C59" s="23">
        <v>190.6576</v>
      </c>
      <c r="D59" s="23">
        <v>220.43</v>
      </c>
      <c r="E59" s="23">
        <v>201.6576</v>
      </c>
      <c r="F59" s="23">
        <v>191.6576</v>
      </c>
      <c r="G59" s="22">
        <f t="shared" si="1"/>
        <v>191.6576</v>
      </c>
    </row>
    <row r="60" spans="2:7">
      <c r="B60" s="21" t="s">
        <v>55</v>
      </c>
      <c r="C60" s="20">
        <v>215.57999999999998</v>
      </c>
      <c r="D60" s="20">
        <v>285.20999999999998</v>
      </c>
      <c r="E60" s="20">
        <v>248.57999999999998</v>
      </c>
      <c r="F60" s="20">
        <v>244.57999999999998</v>
      </c>
      <c r="G60" s="19">
        <f t="shared" si="1"/>
        <v>244.57999999999998</v>
      </c>
    </row>
    <row r="61" spans="2:7">
      <c r="B61" s="24" t="s">
        <v>56</v>
      </c>
      <c r="C61" s="23">
        <v>197.28219999999999</v>
      </c>
      <c r="D61" s="23">
        <v>210</v>
      </c>
      <c r="E61" s="23">
        <v>236.28219999999999</v>
      </c>
      <c r="F61" s="23">
        <v>230.28219999999999</v>
      </c>
      <c r="G61" s="22">
        <f t="shared" si="1"/>
        <v>230.28219999999999</v>
      </c>
    </row>
    <row r="62" spans="2:7">
      <c r="B62" s="21" t="s">
        <v>57</v>
      </c>
      <c r="C62" s="20">
        <v>103.30240000000001</v>
      </c>
      <c r="D62" s="20">
        <v>132</v>
      </c>
      <c r="E62" s="20">
        <v>120.30240000000001</v>
      </c>
      <c r="F62" s="20">
        <v>108.30240000000001</v>
      </c>
      <c r="G62" s="19">
        <f t="shared" si="1"/>
        <v>108.30240000000001</v>
      </c>
    </row>
    <row r="63" spans="2:7">
      <c r="B63" s="24" t="s">
        <v>58</v>
      </c>
      <c r="C63" s="23">
        <v>177.73349999999999</v>
      </c>
      <c r="D63" s="23">
        <v>240.18</v>
      </c>
      <c r="E63" s="23">
        <v>214.73349999999999</v>
      </c>
      <c r="F63" s="23">
        <v>214.73349999999999</v>
      </c>
      <c r="G63" s="22">
        <f t="shared" si="1"/>
        <v>214.73349999999999</v>
      </c>
    </row>
    <row r="64" spans="2:7">
      <c r="B64" s="21" t="s">
        <v>59</v>
      </c>
      <c r="C64" s="20">
        <v>18.056600000000003</v>
      </c>
      <c r="D64" s="20">
        <v>46.72</v>
      </c>
      <c r="E64" s="20">
        <v>22.056600000000003</v>
      </c>
      <c r="F64" s="20">
        <v>22.056600000000003</v>
      </c>
      <c r="G64" s="19">
        <f t="shared" si="1"/>
        <v>22.056600000000003</v>
      </c>
    </row>
    <row r="65" spans="2:7">
      <c r="B65" s="24" t="s">
        <v>60</v>
      </c>
      <c r="C65" s="23">
        <v>112.7518</v>
      </c>
      <c r="D65" s="23">
        <v>142</v>
      </c>
      <c r="E65" s="23">
        <v>133.7518</v>
      </c>
      <c r="F65" s="23">
        <v>119.7518</v>
      </c>
      <c r="G65" s="22">
        <f t="shared" si="1"/>
        <v>119.7518</v>
      </c>
    </row>
    <row r="66" spans="2:7">
      <c r="B66" s="21" t="s">
        <v>61</v>
      </c>
      <c r="C66" s="20">
        <v>252.63409999999999</v>
      </c>
      <c r="D66" s="20">
        <v>295.97000000000003</v>
      </c>
      <c r="E66" s="20">
        <v>237.63409999999999</v>
      </c>
      <c r="F66" s="20">
        <v>230.63409999999999</v>
      </c>
      <c r="G66" s="19">
        <f t="shared" si="1"/>
        <v>230.63409999999999</v>
      </c>
    </row>
    <row r="67" spans="2:7">
      <c r="B67" s="24" t="s">
        <v>62</v>
      </c>
      <c r="C67" s="23">
        <v>360.79559999999998</v>
      </c>
      <c r="D67" s="23">
        <v>400.32</v>
      </c>
      <c r="E67" s="23">
        <v>403.79559999999998</v>
      </c>
      <c r="F67" s="23">
        <v>400.79559999999998</v>
      </c>
      <c r="G67" s="22">
        <f t="shared" si="1"/>
        <v>400.79559999999998</v>
      </c>
    </row>
    <row r="68" spans="2:7">
      <c r="B68" s="21" t="s">
        <v>63</v>
      </c>
      <c r="C68" s="20">
        <v>247.16680000000002</v>
      </c>
      <c r="D68" s="20">
        <v>260.2</v>
      </c>
      <c r="E68" s="20">
        <v>292.16680000000002</v>
      </c>
      <c r="F68" s="20">
        <v>279.16680000000002</v>
      </c>
      <c r="G68" s="19">
        <f t="shared" si="1"/>
        <v>279.16680000000002</v>
      </c>
    </row>
    <row r="69" spans="2:7">
      <c r="B69" s="24" t="s">
        <v>64</v>
      </c>
      <c r="C69" s="23">
        <v>566.25130000000001</v>
      </c>
      <c r="D69" s="23">
        <v>694.27</v>
      </c>
      <c r="E69" s="23">
        <v>683.25130000000001</v>
      </c>
      <c r="F69" s="23">
        <v>656.25130000000001</v>
      </c>
      <c r="G69" s="22">
        <f t="shared" ref="G69:G76" si="2">IF(E69&lt;F69,E69,F69)</f>
        <v>656.25130000000001</v>
      </c>
    </row>
    <row r="70" spans="2:7">
      <c r="B70" s="21" t="s">
        <v>65</v>
      </c>
      <c r="C70" s="20">
        <v>380.83260000000001</v>
      </c>
      <c r="D70" s="20">
        <v>468.75</v>
      </c>
      <c r="E70" s="20">
        <v>437.83260000000001</v>
      </c>
      <c r="F70" s="20">
        <v>413.83260000000001</v>
      </c>
      <c r="G70" s="19">
        <f t="shared" si="2"/>
        <v>413.83260000000001</v>
      </c>
    </row>
    <row r="71" spans="2:7">
      <c r="B71" s="24" t="s">
        <v>66</v>
      </c>
      <c r="C71" s="23">
        <v>141.01429999999999</v>
      </c>
      <c r="D71" s="23">
        <v>138</v>
      </c>
      <c r="E71" s="23">
        <v>169.01429999999999</v>
      </c>
      <c r="F71" s="23">
        <v>162.01429999999999</v>
      </c>
      <c r="G71" s="22">
        <f t="shared" si="2"/>
        <v>162.01429999999999</v>
      </c>
    </row>
    <row r="72" spans="2:7">
      <c r="B72" s="21" t="s">
        <v>67</v>
      </c>
      <c r="C72" s="20">
        <v>80.5732</v>
      </c>
      <c r="D72" s="20">
        <v>104</v>
      </c>
      <c r="E72" s="20">
        <v>91.5732</v>
      </c>
      <c r="F72" s="20">
        <v>90.5732</v>
      </c>
      <c r="G72" s="19">
        <f t="shared" si="2"/>
        <v>90.5732</v>
      </c>
    </row>
    <row r="73" spans="2:7">
      <c r="B73" s="24" t="s">
        <v>68</v>
      </c>
      <c r="C73" s="23">
        <v>44.719899999999996</v>
      </c>
      <c r="D73" s="23">
        <v>57</v>
      </c>
      <c r="E73" s="23">
        <v>44.719899999999996</v>
      </c>
      <c r="F73" s="23">
        <v>44.719899999999996</v>
      </c>
      <c r="G73" s="22">
        <f t="shared" si="2"/>
        <v>44.719899999999996</v>
      </c>
    </row>
    <row r="74" spans="2:7">
      <c r="B74" s="21" t="s">
        <v>69</v>
      </c>
      <c r="C74" s="20">
        <v>186.1437</v>
      </c>
      <c r="D74" s="20">
        <v>265</v>
      </c>
      <c r="E74" s="20">
        <v>221.1437</v>
      </c>
      <c r="F74" s="20">
        <v>220.1437</v>
      </c>
      <c r="G74" s="19">
        <f t="shared" si="2"/>
        <v>220.1437</v>
      </c>
    </row>
    <row r="75" spans="2:7">
      <c r="B75" s="24" t="s">
        <v>70</v>
      </c>
      <c r="C75" s="23">
        <v>273.23689999999999</v>
      </c>
      <c r="D75" s="23">
        <v>316</v>
      </c>
      <c r="E75" s="23">
        <v>308.23689999999999</v>
      </c>
      <c r="F75" s="23">
        <v>301.23689999999999</v>
      </c>
      <c r="G75" s="22">
        <f t="shared" si="2"/>
        <v>301.23689999999999</v>
      </c>
    </row>
    <row r="76" spans="2:7">
      <c r="B76" s="21" t="s">
        <v>71</v>
      </c>
      <c r="C76" s="20">
        <v>85.106399999999994</v>
      </c>
      <c r="D76" s="20">
        <v>120.37</v>
      </c>
      <c r="E76" s="20">
        <v>95.106399999999994</v>
      </c>
      <c r="F76" s="20">
        <v>92.106399999999994</v>
      </c>
      <c r="G76" s="19">
        <f t="shared" si="2"/>
        <v>92.106399999999994</v>
      </c>
    </row>
    <row r="77" spans="2:7" ht="15.75" thickBot="1">
      <c r="B77" s="18" t="s">
        <v>89</v>
      </c>
      <c r="C77" s="17">
        <f>SUBTOTAL(109,'Fall 2026 Estimated P1 FON'!C$5:C$76)</f>
        <v>15584.251999999997</v>
      </c>
      <c r="D77" s="17">
        <f>SUBTOTAL(109,'Fall 2026 Estimated P1 FON'!D$5:D$76)</f>
        <v>18891.079999999998</v>
      </c>
      <c r="E77" s="17">
        <f>SUBTOTAL(109,'Fall 2026 Estimated P1 FON'!E$5:E$76)</f>
        <v>17526.251999999997</v>
      </c>
      <c r="F77" s="17">
        <f>SUBTOTAL(109,'Fall 2026 Estimated P1 FON'!F$5:F$76)</f>
        <v>17161.251999999997</v>
      </c>
      <c r="G77" s="16">
        <f>SUBTOTAL(109,'Fall 2026 Estimated P1 FON'!$G$5:$G$76)</f>
        <v>17102.252</v>
      </c>
    </row>
    <row r="79" spans="2:7" s="15" customFormat="1">
      <c r="B79" s="15">
        <v>1</v>
      </c>
      <c r="C79" s="15">
        <v>2</v>
      </c>
      <c r="D79" s="15">
        <v>3</v>
      </c>
      <c r="E79" s="15">
        <v>4</v>
      </c>
      <c r="F79" s="15">
        <v>4</v>
      </c>
      <c r="G79" s="15">
        <v>7</v>
      </c>
    </row>
  </sheetData>
  <autoFilter ref="B4:G4" xr:uid="{50C74ACE-8311-4269-8A62-4CC67634A405}"/>
  <printOptions horizontalCentered="1"/>
  <pageMargins left="0.25" right="0.25" top="0.75" bottom="0.75" header="0.3" footer="0.3"/>
  <pageSetup scale="75" orientation="portrait" r:id="rId1"/>
  <headerFooter>
    <oddFooter>&amp;R&amp;D</oddFooter>
  </headerFooter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971E-5FDF-40E8-B9FB-CFF3D0C7FBE1}">
  <dimension ref="A1:K25"/>
  <sheetViews>
    <sheetView workbookViewId="0">
      <selection activeCell="C5" sqref="C5"/>
    </sheetView>
  </sheetViews>
  <sheetFormatPr defaultColWidth="9.140625" defaultRowHeight="15"/>
  <cols>
    <col min="1" max="1" width="2.42578125" style="76" customWidth="1"/>
    <col min="2" max="2" width="14.85546875" style="76" customWidth="1"/>
    <col min="3" max="3" width="45.5703125" style="76" bestFit="1" customWidth="1"/>
    <col min="4" max="4" width="14.5703125" style="76" customWidth="1"/>
    <col min="5" max="5" width="4.140625" style="76" customWidth="1"/>
    <col min="6" max="16384" width="9.140625" style="76"/>
  </cols>
  <sheetData>
    <row r="1" spans="1:11" ht="25.35" customHeight="1">
      <c r="A1" s="32" t="s">
        <v>90</v>
      </c>
      <c r="B1" s="33"/>
      <c r="C1" s="33"/>
      <c r="D1" s="75"/>
    </row>
    <row r="2" spans="1:11" ht="25.35" customHeight="1">
      <c r="A2" s="32" t="s">
        <v>91</v>
      </c>
      <c r="B2" s="75"/>
      <c r="C2" s="75"/>
      <c r="D2" s="75"/>
    </row>
    <row r="3" spans="1:11" ht="25.35" customHeight="1" thickBot="1">
      <c r="A3" s="103" t="s">
        <v>157</v>
      </c>
      <c r="B3" s="75"/>
      <c r="C3" s="75"/>
      <c r="D3" s="75"/>
    </row>
    <row r="4" spans="1:11" ht="19.5" thickBot="1">
      <c r="A4" s="75"/>
      <c r="B4" s="77"/>
      <c r="C4" s="78"/>
      <c r="D4" s="79"/>
      <c r="F4" s="80"/>
      <c r="G4" s="80"/>
      <c r="H4" s="80"/>
      <c r="I4" s="80"/>
      <c r="J4" s="80"/>
      <c r="K4" s="80"/>
    </row>
    <row r="5" spans="1:11" ht="30" customHeight="1" thickBot="1">
      <c r="A5" s="75"/>
      <c r="B5" s="81" t="s">
        <v>72</v>
      </c>
      <c r="C5" s="82"/>
      <c r="D5" s="83"/>
      <c r="E5" s="84" t="s">
        <v>106</v>
      </c>
      <c r="F5" s="85" t="s">
        <v>107</v>
      </c>
      <c r="G5" s="80"/>
      <c r="H5" s="80"/>
      <c r="I5" s="80"/>
      <c r="J5" s="80"/>
      <c r="K5" s="80"/>
    </row>
    <row r="6" spans="1:11" ht="15.75">
      <c r="A6" s="75"/>
      <c r="B6" s="86" t="s">
        <v>108</v>
      </c>
      <c r="C6" s="87"/>
      <c r="D6" s="83"/>
      <c r="F6" s="85"/>
      <c r="G6" s="80"/>
      <c r="H6" s="80"/>
      <c r="I6" s="80"/>
      <c r="J6" s="80"/>
      <c r="K6" s="80"/>
    </row>
    <row r="7" spans="1:11" ht="15.75">
      <c r="A7" s="75"/>
      <c r="B7" s="88"/>
      <c r="C7" s="87" t="s">
        <v>131</v>
      </c>
      <c r="D7" s="89"/>
      <c r="E7" s="84" t="s">
        <v>106</v>
      </c>
      <c r="F7" s="85" t="s">
        <v>109</v>
      </c>
      <c r="G7" s="80"/>
      <c r="H7" s="80"/>
      <c r="I7" s="80"/>
      <c r="J7" s="80"/>
      <c r="K7" s="80"/>
    </row>
    <row r="8" spans="1:11" ht="15.75">
      <c r="A8" s="75"/>
      <c r="B8" s="88"/>
      <c r="C8" s="87" t="s">
        <v>81</v>
      </c>
      <c r="D8" s="90"/>
      <c r="E8" s="84" t="s">
        <v>106</v>
      </c>
      <c r="F8" s="85" t="s">
        <v>110</v>
      </c>
      <c r="G8" s="80"/>
      <c r="H8" s="80"/>
      <c r="I8" s="80"/>
      <c r="J8" s="80"/>
      <c r="K8" s="80"/>
    </row>
    <row r="9" spans="1:11" ht="15.75">
      <c r="A9" s="75"/>
      <c r="B9" s="88"/>
      <c r="C9" s="87"/>
      <c r="D9" s="83"/>
      <c r="F9" s="85"/>
      <c r="G9" s="80"/>
      <c r="H9" s="80"/>
      <c r="I9" s="80"/>
      <c r="J9" s="80"/>
      <c r="K9" s="80"/>
    </row>
    <row r="10" spans="1:11" ht="15.75">
      <c r="A10" s="75"/>
      <c r="B10" s="88"/>
      <c r="C10" s="87"/>
      <c r="D10" s="83"/>
      <c r="F10" s="85"/>
      <c r="G10" s="80"/>
      <c r="H10" s="80"/>
      <c r="I10" s="80"/>
      <c r="J10" s="80"/>
      <c r="K10" s="80"/>
    </row>
    <row r="11" spans="1:11" ht="15.75">
      <c r="A11" s="75"/>
      <c r="B11" s="86" t="s">
        <v>160</v>
      </c>
      <c r="C11" s="87"/>
      <c r="D11" s="83"/>
      <c r="F11" s="85"/>
      <c r="G11" s="80"/>
      <c r="H11" s="80"/>
      <c r="I11" s="80"/>
      <c r="J11" s="80"/>
      <c r="K11" s="80"/>
    </row>
    <row r="12" spans="1:11" ht="15.75">
      <c r="A12" s="75"/>
      <c r="B12" s="86"/>
      <c r="C12" s="87"/>
      <c r="D12" s="83"/>
      <c r="F12" s="85"/>
      <c r="G12" s="80"/>
      <c r="H12" s="80"/>
      <c r="I12" s="80"/>
      <c r="J12" s="80"/>
      <c r="K12" s="80"/>
    </row>
    <row r="13" spans="1:11" ht="15.75">
      <c r="A13" s="75"/>
      <c r="B13" s="91" t="s">
        <v>111</v>
      </c>
      <c r="C13" s="87" t="s">
        <v>112</v>
      </c>
      <c r="D13" s="92">
        <f>SUMIF(TableFall_FON_Calculations[District],C5,TableFall_FON_Calculations[Base FON:
2024-25 Fall 2025 R1 FON
(a)])</f>
        <v>0</v>
      </c>
      <c r="E13" s="93" t="s">
        <v>113</v>
      </c>
      <c r="F13" s="85" t="s">
        <v>158</v>
      </c>
      <c r="G13" s="80"/>
      <c r="H13" s="80"/>
      <c r="I13" s="80"/>
      <c r="J13" s="80"/>
      <c r="K13" s="80"/>
    </row>
    <row r="14" spans="1:11" ht="15.75">
      <c r="A14" s="75"/>
      <c r="B14" s="91" t="s">
        <v>114</v>
      </c>
      <c r="C14" s="87" t="s">
        <v>115</v>
      </c>
      <c r="D14" s="94">
        <f>SUMIF(TableFall_FON_Calculations[District],C5,TableFall_FON_Calculations[Base FTES: 
2024-25 R1 Funded Credit FTES
(b)])</f>
        <v>0</v>
      </c>
      <c r="E14" s="93" t="s">
        <v>113</v>
      </c>
      <c r="F14" s="85" t="s">
        <v>158</v>
      </c>
      <c r="G14" s="80"/>
      <c r="H14" s="80"/>
      <c r="I14" s="80"/>
      <c r="J14" s="80"/>
      <c r="K14" s="80"/>
    </row>
    <row r="15" spans="1:11" ht="15.75">
      <c r="A15" s="75"/>
      <c r="B15" s="91" t="s">
        <v>116</v>
      </c>
      <c r="C15" s="87" t="s">
        <v>117</v>
      </c>
      <c r="D15" s="94">
        <f>D7</f>
        <v>0</v>
      </c>
      <c r="E15" s="93" t="s">
        <v>113</v>
      </c>
      <c r="F15" s="85" t="s">
        <v>118</v>
      </c>
      <c r="G15" s="80"/>
      <c r="H15" s="80"/>
      <c r="I15" s="80"/>
      <c r="J15" s="80"/>
      <c r="K15" s="80"/>
    </row>
    <row r="16" spans="1:11" ht="15.75">
      <c r="A16" s="75"/>
      <c r="B16" s="91" t="s">
        <v>119</v>
      </c>
      <c r="C16" s="87" t="s">
        <v>120</v>
      </c>
      <c r="D16" s="95">
        <f>1-D8</f>
        <v>1</v>
      </c>
      <c r="E16" s="93" t="s">
        <v>113</v>
      </c>
      <c r="F16" s="85" t="s">
        <v>121</v>
      </c>
      <c r="G16" s="80"/>
      <c r="H16" s="80"/>
      <c r="I16" s="80"/>
      <c r="J16" s="80"/>
      <c r="K16" s="80"/>
    </row>
    <row r="17" spans="1:11" ht="15.75">
      <c r="A17" s="75"/>
      <c r="B17" s="91" t="s">
        <v>122</v>
      </c>
      <c r="C17" s="87" t="s">
        <v>123</v>
      </c>
      <c r="D17" s="96">
        <f>D15*D16</f>
        <v>0</v>
      </c>
      <c r="F17" s="85"/>
      <c r="G17" s="80"/>
      <c r="H17" s="80"/>
      <c r="I17" s="80"/>
      <c r="J17" s="80"/>
      <c r="K17" s="80"/>
    </row>
    <row r="18" spans="1:11" ht="15.75">
      <c r="A18" s="75"/>
      <c r="B18" s="91" t="s">
        <v>124</v>
      </c>
      <c r="C18" s="87" t="s">
        <v>125</v>
      </c>
      <c r="D18" s="96">
        <f>D17-D14</f>
        <v>0</v>
      </c>
      <c r="F18" s="85"/>
      <c r="G18" s="80"/>
      <c r="H18" s="80"/>
      <c r="I18" s="80"/>
      <c r="J18" s="80"/>
      <c r="K18" s="80"/>
    </row>
    <row r="19" spans="1:11" ht="15.75">
      <c r="A19" s="75"/>
      <c r="B19" s="91" t="s">
        <v>126</v>
      </c>
      <c r="C19" s="87" t="s">
        <v>127</v>
      </c>
      <c r="D19" s="97" t="e">
        <f>D18/D14</f>
        <v>#DIV/0!</v>
      </c>
      <c r="F19" s="85"/>
      <c r="G19" s="80"/>
      <c r="H19" s="80"/>
      <c r="I19" s="80"/>
      <c r="J19" s="80"/>
      <c r="K19" s="80"/>
    </row>
    <row r="20" spans="1:11" ht="15.75">
      <c r="A20" s="75"/>
      <c r="B20" s="91" t="s">
        <v>128</v>
      </c>
      <c r="C20" s="87" t="s">
        <v>129</v>
      </c>
      <c r="D20" s="98" t="e">
        <f>IF(D13*D19&gt;=0,ROUNDDOWN(D13*D19,0),ROUNDUP(D13*D19,0))</f>
        <v>#DIV/0!</v>
      </c>
      <c r="F20" s="99"/>
      <c r="G20" s="80"/>
      <c r="H20" s="80"/>
      <c r="I20" s="80"/>
      <c r="J20" s="80"/>
      <c r="K20" s="80"/>
    </row>
    <row r="21" spans="1:11" ht="15.75">
      <c r="A21" s="75"/>
      <c r="B21" s="91" t="s">
        <v>130</v>
      </c>
      <c r="C21" s="87" t="s">
        <v>135</v>
      </c>
      <c r="D21" s="92" t="e">
        <f>D13+D20</f>
        <v>#DIV/0!</v>
      </c>
      <c r="E21" s="93"/>
      <c r="F21" s="85"/>
      <c r="G21" s="80"/>
      <c r="H21" s="80"/>
      <c r="I21" s="80"/>
      <c r="J21" s="80"/>
      <c r="K21" s="80"/>
    </row>
    <row r="22" spans="1:11" ht="15.75">
      <c r="A22" s="75"/>
      <c r="B22" s="91"/>
      <c r="C22" s="87" t="s">
        <v>133</v>
      </c>
      <c r="D22" s="92">
        <f>SUMIF('Fall 2026 Estimated P1 FON'!B5:B76,C5,'Fall 2026 Estimated P1 FON'!E5:E76)</f>
        <v>0</v>
      </c>
      <c r="E22" s="93" t="s">
        <v>113</v>
      </c>
      <c r="F22" s="85" t="s">
        <v>159</v>
      </c>
      <c r="G22" s="80"/>
      <c r="H22" s="80"/>
      <c r="I22" s="80"/>
      <c r="J22" s="80"/>
      <c r="K22" s="80"/>
    </row>
    <row r="23" spans="1:11" ht="16.5" customHeight="1" thickBot="1">
      <c r="A23" s="75"/>
      <c r="B23" s="100"/>
      <c r="C23" s="101" t="s">
        <v>136</v>
      </c>
      <c r="D23" s="102" t="e">
        <f>IF(D22&gt;D21,D21,D22)</f>
        <v>#DIV/0!</v>
      </c>
      <c r="E23" s="93" t="s">
        <v>113</v>
      </c>
      <c r="F23" s="85" t="s">
        <v>134</v>
      </c>
      <c r="G23" s="80"/>
      <c r="H23" s="80"/>
      <c r="I23" s="80"/>
      <c r="J23" s="80"/>
      <c r="K23" s="80"/>
    </row>
    <row r="24" spans="1:11">
      <c r="A24" s="75"/>
      <c r="B24" s="75"/>
      <c r="C24" s="75"/>
      <c r="D24" s="75"/>
    </row>
    <row r="25" spans="1:11">
      <c r="A25" s="75"/>
      <c r="B25" s="75"/>
      <c r="C25" s="75"/>
      <c r="D25" s="75"/>
      <c r="E25" s="80"/>
      <c r="F25" s="80"/>
      <c r="G25" s="80"/>
      <c r="H25" s="80"/>
      <c r="I25" s="80"/>
      <c r="J25" s="80"/>
      <c r="K25" s="80"/>
    </row>
  </sheetData>
  <dataValidations count="2">
    <dataValidation allowBlank="1" showInputMessage="1" showErrorMessage="1" promptTitle="Input" prompt="Enter your estimated Funded Credit FTES" sqref="D7" xr:uid="{E3E571AD-6689-4B26-A3DE-894386D8200A}"/>
    <dataValidation allowBlank="1" showInputMessage="1" showErrorMessage="1" promptTitle="Enter Deficit" prompt="Enter estimated deficit percentage." sqref="D8" xr:uid="{78082AEA-EC38-43F4-8D13-EAB792EAC6CD}"/>
  </dataValidations>
  <pageMargins left="0.7" right="0.7" top="0.75" bottom="0.75" header="0.3" footer="0.3"/>
  <pageSetup orientation="portrait" r:id="rId1"/>
  <headerFooter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District" prompt="Choose Your District" xr:uid="{6AE2A4D6-5272-4D80-86C5-18403632FA09}">
          <x14:formula1>
            <xm:f>'Fall 2026 P1 FON Calculation'!$B$7:$B$78</xm:f>
          </x14:formula1>
          <xm:sqref>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 of Contents</vt:lpstr>
      <vt:lpstr>Definitions</vt:lpstr>
      <vt:lpstr>Fall 2026 P1 FON Calculation</vt:lpstr>
      <vt:lpstr>Fall 2026 Estimated P1 FON</vt:lpstr>
      <vt:lpstr>FON Estimator</vt:lpstr>
      <vt:lpstr>'Fall 2026 Estimated P1 FON'!Print_Area</vt:lpstr>
      <vt:lpstr>'Fall 2026 P1 FON Calculation'!Print_Area</vt:lpstr>
      <vt:lpstr>'FON Estimator'!Print_Area</vt:lpstr>
      <vt:lpstr>'Fall 2026 Estimated P1 FON'!Print_Titles</vt:lpstr>
      <vt:lpstr>'Fall 2026 P1 FON Calculation'!Print_Titles</vt:lpstr>
    </vt:vector>
  </TitlesOfParts>
  <Company>CCCCO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Finche, Wrenna</dc:creator>
  <cp:lastModifiedBy>Smallwood, Jubilee</cp:lastModifiedBy>
  <cp:lastPrinted>2026-02-27T01:05:29Z</cp:lastPrinted>
  <dcterms:created xsi:type="dcterms:W3CDTF">2018-08-23T19:36:29Z</dcterms:created>
  <dcterms:modified xsi:type="dcterms:W3CDTF">2026-02-27T01:18:35Z</dcterms:modified>
</cp:coreProperties>
</file>